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660"/>
  </bookViews>
  <sheets>
    <sheet name="JS SMT (States) (2)" sheetId="17" r:id="rId1"/>
    <sheet name="Annexure - IV" sheetId="10" r:id="rId2"/>
    <sheet name="ADC" sheetId="14" r:id="rId3"/>
    <sheet name="Annexure - VI" sheetId="11" r:id="rId4"/>
    <sheet name="Head Wise" sheetId="15" r:id="rId5"/>
    <sheet name="Category Wise" sheetId="7" r:id="rId6"/>
    <sheet name="Annexure - V (Approved)" sheetId="13" r:id="rId7"/>
    <sheet name="Annexure - V" sheetId="8" r:id="rId8"/>
    <sheet name="JS SMT (States)" sheetId="16" r:id="rId9"/>
    <sheet name="Sheet1" sheetId="18" r:id="rId10"/>
  </sheets>
  <definedNames>
    <definedName name="_xlnm.Print_Area" localSheetId="2">ADC!$A$1:$P$77</definedName>
    <definedName name="_xlnm.Print_Area" localSheetId="7">'Annexure - V'!$A$1:$J$64</definedName>
    <definedName name="_xlnm.Print_Area" localSheetId="6">'Annexure - V (Approved)'!$A$1:$J$67</definedName>
    <definedName name="_xlnm.Print_Area" localSheetId="3">'Annexure - VI'!$A$1:$F$17</definedName>
    <definedName name="_xlnm.Print_Area" localSheetId="5">'Category Wise'!$A$1:$P$67</definedName>
    <definedName name="_xlnm.Print_Area" localSheetId="0">'JS SMT (States) (2)'!$A$1:$H$42</definedName>
  </definedNames>
  <calcPr calcId="144525"/>
</workbook>
</file>

<file path=xl/calcChain.xml><?xml version="1.0" encoding="utf-8"?>
<calcChain xmlns="http://schemas.openxmlformats.org/spreadsheetml/2006/main">
  <c r="P67" i="14"/>
  <c r="C17" i="11" l="1"/>
  <c r="I8" i="14" l="1"/>
  <c r="E8"/>
  <c r="P60" i="7" l="1"/>
  <c r="P56" i="14" l="1"/>
  <c r="E26" l="1"/>
  <c r="I15"/>
  <c r="E15"/>
  <c r="P61" l="1"/>
  <c r="L11" i="10" l="1"/>
  <c r="P59" i="7" l="1"/>
  <c r="O50" i="14" l="1"/>
  <c r="P50"/>
  <c r="C30" i="18" l="1"/>
  <c r="D30" s="1"/>
  <c r="C24"/>
  <c r="D24" s="1"/>
  <c r="C16"/>
  <c r="D6" s="1"/>
  <c r="K7" i="7" l="1"/>
  <c r="K8"/>
  <c r="K9"/>
  <c r="K10"/>
  <c r="K11"/>
  <c r="K12"/>
  <c r="K13"/>
  <c r="K14"/>
  <c r="K15"/>
  <c r="K16"/>
  <c r="K17"/>
  <c r="K18"/>
  <c r="K19"/>
  <c r="K20"/>
  <c r="K21"/>
  <c r="K22"/>
  <c r="K23"/>
  <c r="K24"/>
  <c r="K26"/>
  <c r="K27"/>
  <c r="K28"/>
  <c r="K29"/>
  <c r="K30"/>
  <c r="K31"/>
  <c r="K32"/>
  <c r="K33"/>
  <c r="K34"/>
  <c r="K6"/>
  <c r="I34" i="14"/>
  <c r="E34"/>
  <c r="I33"/>
  <c r="K35" i="7" l="1"/>
  <c r="K25"/>
  <c r="K36" s="1"/>
  <c r="P69" i="14"/>
  <c r="P58" i="7" l="1"/>
  <c r="P70" i="14" l="1"/>
  <c r="P57" i="7" l="1"/>
  <c r="C71" i="14" l="1"/>
  <c r="C70"/>
  <c r="C69"/>
  <c r="C68"/>
  <c r="C67"/>
  <c r="P68" l="1"/>
  <c r="P71"/>
  <c r="O61" l="1"/>
  <c r="F19" i="17" l="1"/>
  <c r="E12"/>
  <c r="E17"/>
  <c r="E5"/>
  <c r="E11"/>
  <c r="E15"/>
  <c r="E7"/>
  <c r="E6"/>
  <c r="E13"/>
  <c r="E14"/>
  <c r="E16"/>
  <c r="E10"/>
  <c r="E8"/>
  <c r="D8"/>
  <c r="E9"/>
  <c r="D9"/>
  <c r="P56" i="7"/>
  <c r="I19" i="15"/>
  <c r="O56" i="14"/>
  <c r="O52" s="1"/>
  <c r="O60"/>
  <c r="P60"/>
  <c r="F18" i="16" l="1"/>
  <c r="E15"/>
  <c r="E16"/>
  <c r="E17"/>
  <c r="E6"/>
  <c r="E7"/>
  <c r="E8"/>
  <c r="E9"/>
  <c r="E10"/>
  <c r="E11"/>
  <c r="E12"/>
  <c r="E13"/>
  <c r="E14"/>
  <c r="D6"/>
  <c r="E5"/>
  <c r="D5"/>
  <c r="F28" i="7"/>
  <c r="F29"/>
  <c r="F30"/>
  <c r="D37" i="17" s="1"/>
  <c r="F31" i="7"/>
  <c r="F32"/>
  <c r="F33"/>
  <c r="F34"/>
  <c r="F27"/>
  <c r="F7"/>
  <c r="F8"/>
  <c r="F9"/>
  <c r="D29" i="16" s="1"/>
  <c r="F10" i="7"/>
  <c r="F11"/>
  <c r="F12"/>
  <c r="F13"/>
  <c r="D14" i="17" s="1"/>
  <c r="F14" i="7"/>
  <c r="F15"/>
  <c r="F16"/>
  <c r="F17"/>
  <c r="F18"/>
  <c r="D38" i="17" s="1"/>
  <c r="F19" i="7"/>
  <c r="F20"/>
  <c r="F21"/>
  <c r="F22"/>
  <c r="F23"/>
  <c r="F24"/>
  <c r="F6"/>
  <c r="D36" i="16" l="1"/>
  <c r="D17"/>
  <c r="D12" i="17"/>
  <c r="D15" i="16"/>
  <c r="D5" i="17"/>
  <c r="D11" i="16"/>
  <c r="D6" i="17"/>
  <c r="D8" i="16"/>
  <c r="D16" i="17"/>
  <c r="D7" i="16"/>
  <c r="D10" i="17"/>
  <c r="D35" i="16"/>
  <c r="D39" i="17"/>
  <c r="D33" i="16"/>
  <c r="D36" i="17"/>
  <c r="D40" i="16"/>
  <c r="D32"/>
  <c r="D35" i="17"/>
  <c r="D38" i="16"/>
  <c r="D40" i="17"/>
  <c r="D39" i="16"/>
  <c r="D41" i="17"/>
  <c r="D16" i="16"/>
  <c r="D17" i="17"/>
  <c r="D14" i="16"/>
  <c r="D11" i="17"/>
  <c r="D10" i="16"/>
  <c r="D13" i="17"/>
  <c r="D31" i="16"/>
  <c r="D34" i="17"/>
  <c r="D28" i="16"/>
  <c r="D32" i="17"/>
  <c r="D13" i="16"/>
  <c r="D15" i="17"/>
  <c r="D27" i="16"/>
  <c r="D31" i="17"/>
  <c r="D9" i="16"/>
  <c r="D30"/>
  <c r="D33" i="17"/>
  <c r="D12" i="16"/>
  <c r="D7" i="17"/>
  <c r="D34" i="16"/>
  <c r="D37"/>
  <c r="F35" i="7"/>
  <c r="F25"/>
  <c r="D18" i="16" l="1"/>
  <c r="D42" i="17"/>
  <c r="D41" i="16"/>
  <c r="D19" i="17"/>
  <c r="F36" i="7"/>
  <c r="P58" i="14"/>
  <c r="P52" s="1"/>
  <c r="P42" i="7" l="1"/>
  <c r="P43"/>
  <c r="P44"/>
  <c r="P45"/>
  <c r="P46"/>
  <c r="P47"/>
  <c r="P48"/>
  <c r="P49"/>
  <c r="P50"/>
  <c r="P51"/>
  <c r="P52"/>
  <c r="P53"/>
  <c r="P54"/>
  <c r="P55"/>
  <c r="P61"/>
  <c r="P41"/>
  <c r="P64"/>
  <c r="K15" i="15" l="1"/>
  <c r="K17"/>
  <c r="K19"/>
  <c r="K13"/>
  <c r="H25" i="7"/>
  <c r="M28" l="1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N27"/>
  <c r="O27"/>
  <c r="M27"/>
  <c r="M7"/>
  <c r="N7"/>
  <c r="O7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J35"/>
  <c r="I35"/>
  <c r="H35"/>
  <c r="J25"/>
  <c r="I25"/>
  <c r="H36"/>
  <c r="I36" l="1"/>
  <c r="J36"/>
  <c r="O67" i="14" l="1"/>
  <c r="O68"/>
  <c r="O69"/>
  <c r="O70"/>
  <c r="O71"/>
  <c r="C23" i="11" l="1"/>
  <c r="B53" i="7" l="1"/>
  <c r="E20" i="15"/>
  <c r="F20"/>
  <c r="G20"/>
  <c r="H20"/>
  <c r="D20"/>
  <c r="E18"/>
  <c r="F18"/>
  <c r="G18"/>
  <c r="H18"/>
  <c r="D18"/>
  <c r="E6" i="7" l="1"/>
  <c r="O6" s="1"/>
  <c r="D6"/>
  <c r="N6" s="1"/>
  <c r="C6"/>
  <c r="M6" s="1"/>
  <c r="E8"/>
  <c r="O8" s="1"/>
  <c r="D8"/>
  <c r="N8" s="1"/>
  <c r="C8"/>
  <c r="M8" s="1"/>
  <c r="P8" i="14" l="1"/>
  <c r="C29" i="11" l="1"/>
  <c r="P47" i="14" l="1"/>
  <c r="D8" i="15" l="1"/>
  <c r="E8"/>
  <c r="F8"/>
  <c r="G8"/>
  <c r="H8"/>
  <c r="D12"/>
  <c r="E12"/>
  <c r="F12"/>
  <c r="J13"/>
  <c r="I14"/>
  <c r="K14" s="1"/>
  <c r="J15"/>
  <c r="J17"/>
  <c r="J19"/>
  <c r="D21"/>
  <c r="E21"/>
  <c r="F21"/>
  <c r="G21"/>
  <c r="H21"/>
  <c r="J14" l="1"/>
  <c r="P9" i="14"/>
  <c r="P10"/>
  <c r="P11"/>
  <c r="P12"/>
  <c r="P13"/>
  <c r="P14"/>
  <c r="P15"/>
  <c r="P16"/>
  <c r="P17"/>
  <c r="P18"/>
  <c r="P19"/>
  <c r="P20"/>
  <c r="P21"/>
  <c r="C72" l="1"/>
  <c r="P65" i="7" l="1"/>
  <c r="P62" l="1"/>
  <c r="P17"/>
  <c r="P21"/>
  <c r="P30"/>
  <c r="P34" l="1"/>
  <c r="P6"/>
  <c r="P13"/>
  <c r="P9"/>
  <c r="P33"/>
  <c r="P29"/>
  <c r="P24"/>
  <c r="P20"/>
  <c r="P16"/>
  <c r="P12"/>
  <c r="P8"/>
  <c r="P31"/>
  <c r="P22"/>
  <c r="P18"/>
  <c r="P14"/>
  <c r="P10"/>
  <c r="P32"/>
  <c r="P28"/>
  <c r="P23"/>
  <c r="P19"/>
  <c r="P15"/>
  <c r="P11"/>
  <c r="P7"/>
  <c r="M35"/>
  <c r="O25"/>
  <c r="N25"/>
  <c r="O35"/>
  <c r="P27"/>
  <c r="N35"/>
  <c r="M25"/>
  <c r="D72" i="14"/>
  <c r="E72"/>
  <c r="F72"/>
  <c r="G72"/>
  <c r="A40"/>
  <c r="P30"/>
  <c r="P31"/>
  <c r="P32"/>
  <c r="P33"/>
  <c r="P34"/>
  <c r="P35"/>
  <c r="P36"/>
  <c r="P29"/>
  <c r="O30"/>
  <c r="O31"/>
  <c r="O32"/>
  <c r="O33"/>
  <c r="O34"/>
  <c r="O35"/>
  <c r="O36"/>
  <c r="O29"/>
  <c r="P22"/>
  <c r="P23"/>
  <c r="P24"/>
  <c r="P25"/>
  <c r="P26"/>
  <c r="O8"/>
  <c r="O9"/>
  <c r="O10"/>
  <c r="O11"/>
  <c r="C29" i="16" s="1"/>
  <c r="O12" i="14"/>
  <c r="O13"/>
  <c r="O14"/>
  <c r="O15"/>
  <c r="O16"/>
  <c r="O17"/>
  <c r="O18"/>
  <c r="O19"/>
  <c r="O20"/>
  <c r="O21"/>
  <c r="O22"/>
  <c r="O23"/>
  <c r="O24"/>
  <c r="O25"/>
  <c r="O26"/>
  <c r="M37"/>
  <c r="M27"/>
  <c r="G37"/>
  <c r="G27"/>
  <c r="I37"/>
  <c r="I27"/>
  <c r="K37"/>
  <c r="E37"/>
  <c r="C37"/>
  <c r="K27"/>
  <c r="E27"/>
  <c r="C27"/>
  <c r="C8" i="17" l="1"/>
  <c r="C6" i="16"/>
  <c r="C9" i="17"/>
  <c r="C5" i="16"/>
  <c r="C40"/>
  <c r="C36"/>
  <c r="C38" i="17"/>
  <c r="C32" i="16"/>
  <c r="C35" i="17"/>
  <c r="C30" i="16"/>
  <c r="C33" i="17"/>
  <c r="C37" i="16"/>
  <c r="C39" i="17"/>
  <c r="C33" i="16"/>
  <c r="C36" i="17"/>
  <c r="C38" i="16"/>
  <c r="C40" i="17"/>
  <c r="C9" i="16"/>
  <c r="C14" i="17"/>
  <c r="C13" i="16"/>
  <c r="C15" i="17"/>
  <c r="C27" i="16"/>
  <c r="C31" i="17"/>
  <c r="C17" i="16"/>
  <c r="C12" i="17"/>
  <c r="C15" i="16"/>
  <c r="C5" i="17"/>
  <c r="C11" i="16"/>
  <c r="C6" i="17"/>
  <c r="C8" i="16"/>
  <c r="C16" i="17"/>
  <c r="C7" i="16"/>
  <c r="C10" i="17"/>
  <c r="C12" i="16"/>
  <c r="C7" i="17"/>
  <c r="C16" i="16"/>
  <c r="C17" i="17"/>
  <c r="C14" i="16"/>
  <c r="C11" i="17"/>
  <c r="C10" i="16"/>
  <c r="C13" i="17"/>
  <c r="C31" i="16"/>
  <c r="C34" i="17"/>
  <c r="C28" i="16"/>
  <c r="C32" i="17"/>
  <c r="C39" i="16"/>
  <c r="C41" i="17"/>
  <c r="C34" i="16"/>
  <c r="C37" i="17"/>
  <c r="C35" i="16"/>
  <c r="G38" i="14"/>
  <c r="I38"/>
  <c r="O66"/>
  <c r="O72" s="1"/>
  <c r="C38"/>
  <c r="E38"/>
  <c r="K38"/>
  <c r="P66"/>
  <c r="P35" i="7"/>
  <c r="P25"/>
  <c r="M36"/>
  <c r="I6" i="15" s="1"/>
  <c r="K6" s="1"/>
  <c r="N36" i="7"/>
  <c r="I7" i="15" s="1"/>
  <c r="O36" i="7"/>
  <c r="I5" i="15" s="1"/>
  <c r="M38" i="14"/>
  <c r="O37"/>
  <c r="P27"/>
  <c r="P37"/>
  <c r="O27"/>
  <c r="D6" i="11"/>
  <c r="C41" i="16" l="1"/>
  <c r="P72" i="14"/>
  <c r="I16" i="15" s="1"/>
  <c r="C42" i="17"/>
  <c r="C19"/>
  <c r="C18" i="16"/>
  <c r="J5" i="15"/>
  <c r="K5"/>
  <c r="J7"/>
  <c r="K7"/>
  <c r="P38" i="14"/>
  <c r="I8" i="15"/>
  <c r="K8" s="1"/>
  <c r="J6"/>
  <c r="P36" i="7"/>
  <c r="P66" s="1"/>
  <c r="O38" i="14"/>
  <c r="O73" s="1"/>
  <c r="O76" s="1"/>
  <c r="J16" i="15" l="1"/>
  <c r="J18" s="1"/>
  <c r="J20" s="1"/>
  <c r="I18"/>
  <c r="I20" s="1"/>
  <c r="K20" s="1"/>
  <c r="K16"/>
  <c r="L9" i="10"/>
  <c r="L7"/>
  <c r="P73" i="14"/>
  <c r="J8" i="15"/>
  <c r="J66" i="13"/>
  <c r="I66"/>
  <c r="J59"/>
  <c r="I59"/>
  <c r="J50"/>
  <c r="J56" s="1"/>
  <c r="J64" s="1"/>
  <c r="I50"/>
  <c r="I56" s="1"/>
  <c r="I64" s="1"/>
  <c r="H35"/>
  <c r="G35"/>
  <c r="F35"/>
  <c r="E35"/>
  <c r="D35"/>
  <c r="C35"/>
  <c r="J34"/>
  <c r="I34"/>
  <c r="J33"/>
  <c r="I33"/>
  <c r="J32"/>
  <c r="I32"/>
  <c r="J31"/>
  <c r="I31"/>
  <c r="J30"/>
  <c r="I30"/>
  <c r="J29"/>
  <c r="I29"/>
  <c r="J28"/>
  <c r="I28"/>
  <c r="I35" s="1"/>
  <c r="J27"/>
  <c r="J35" s="1"/>
  <c r="I27"/>
  <c r="H25"/>
  <c r="G25"/>
  <c r="G60" s="1"/>
  <c r="F25"/>
  <c r="F60" s="1"/>
  <c r="E25"/>
  <c r="D25"/>
  <c r="C25"/>
  <c r="C60" s="1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K18" i="15" l="1"/>
  <c r="P76" i="14"/>
  <c r="D5" i="11" s="1"/>
  <c r="D7" s="1"/>
  <c r="J21" i="15"/>
  <c r="I21"/>
  <c r="K21" s="1"/>
  <c r="I25" i="13"/>
  <c r="I60" s="1"/>
  <c r="D60"/>
  <c r="H60"/>
  <c r="E60"/>
  <c r="J25"/>
  <c r="J63"/>
  <c r="J65" s="1"/>
  <c r="J67" s="1"/>
  <c r="J60"/>
  <c r="J64" i="8"/>
  <c r="J63"/>
  <c r="J61"/>
  <c r="J60"/>
  <c r="J62" s="1"/>
  <c r="D5" i="18" l="1"/>
  <c r="D7" s="1"/>
  <c r="I63" i="13"/>
  <c r="I65" s="1"/>
  <c r="I67" s="1"/>
  <c r="C41" i="11" l="1"/>
  <c r="C35"/>
  <c r="L10" i="10"/>
  <c r="L12" s="1"/>
  <c r="K10"/>
  <c r="J10"/>
  <c r="J12" s="1"/>
  <c r="E12"/>
  <c r="F12"/>
  <c r="G12"/>
  <c r="H12"/>
  <c r="I12"/>
  <c r="D12"/>
  <c r="E10"/>
  <c r="F10"/>
  <c r="G10"/>
  <c r="H10"/>
  <c r="I10"/>
  <c r="K12"/>
  <c r="D10"/>
  <c r="M11" l="1"/>
  <c r="F1" i="11"/>
  <c r="J25" i="8" l="1"/>
  <c r="J35"/>
  <c r="J47"/>
  <c r="J53" s="1"/>
  <c r="I57"/>
  <c r="J56"/>
  <c r="I56"/>
  <c r="I62"/>
  <c r="I53"/>
  <c r="I63"/>
  <c r="I60"/>
  <c r="I47" l="1"/>
  <c r="H35"/>
  <c r="G35"/>
  <c r="F35"/>
  <c r="E35"/>
  <c r="D35"/>
  <c r="C35"/>
  <c r="J34"/>
  <c r="I34"/>
  <c r="J33"/>
  <c r="I33"/>
  <c r="J32"/>
  <c r="I32"/>
  <c r="J31"/>
  <c r="I31"/>
  <c r="J30"/>
  <c r="I30"/>
  <c r="J29"/>
  <c r="I29"/>
  <c r="J28"/>
  <c r="I28"/>
  <c r="J27"/>
  <c r="I27"/>
  <c r="H25"/>
  <c r="G25"/>
  <c r="F25"/>
  <c r="F57" s="1"/>
  <c r="E25"/>
  <c r="D25"/>
  <c r="C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J57" s="1"/>
  <c r="I6"/>
  <c r="I61" l="1"/>
  <c r="G57"/>
  <c r="E57"/>
  <c r="C57"/>
  <c r="I35"/>
  <c r="D57"/>
  <c r="H57"/>
  <c r="I25"/>
  <c r="I64" l="1"/>
  <c r="E35" i="7"/>
  <c r="E25"/>
  <c r="E36" l="1"/>
  <c r="C35"/>
  <c r="C25"/>
  <c r="C36" l="1"/>
  <c r="D35" l="1"/>
  <c r="D25"/>
  <c r="D36" l="1"/>
</calcChain>
</file>

<file path=xl/sharedStrings.xml><?xml version="1.0" encoding="utf-8"?>
<sst xmlns="http://schemas.openxmlformats.org/spreadsheetml/2006/main" count="709" uniqueCount="229">
  <si>
    <t>Sl. No.</t>
  </si>
  <si>
    <t>Andhra Pradesh</t>
  </si>
  <si>
    <t>Bihar</t>
  </si>
  <si>
    <t>Chhattisgarh</t>
  </si>
  <si>
    <t>Gujarat</t>
  </si>
  <si>
    <t>Haryana</t>
  </si>
  <si>
    <t>Jammu &amp; Kashmir</t>
  </si>
  <si>
    <t>Jharkhand</t>
  </si>
  <si>
    <t>Karnataka</t>
  </si>
  <si>
    <t>Kerala</t>
  </si>
  <si>
    <t>Madhya Pradesh</t>
  </si>
  <si>
    <t>Maharashtra</t>
  </si>
  <si>
    <t>Orissa</t>
  </si>
  <si>
    <t>Punjab</t>
  </si>
  <si>
    <t>Rajasthan</t>
  </si>
  <si>
    <t>Tamil Nadu</t>
  </si>
  <si>
    <t>Telangana</t>
  </si>
  <si>
    <t>Uttar Pradesh</t>
  </si>
  <si>
    <t>West Bengal</t>
  </si>
  <si>
    <t>Uttarakhand</t>
  </si>
  <si>
    <t>A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</si>
  <si>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</si>
  <si>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</si>
  <si>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</si>
  <si>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</si>
  <si>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</si>
  <si>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</si>
  <si>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</si>
  <si>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</si>
  <si>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B</t>
  </si>
  <si>
    <t>C</t>
  </si>
  <si>
    <t>States</t>
  </si>
  <si>
    <t>Implement Agencies</t>
  </si>
  <si>
    <t>TBOs</t>
  </si>
  <si>
    <t>Name of the States / Agencies</t>
  </si>
  <si>
    <t>Professional Services</t>
  </si>
  <si>
    <t>Other Charges</t>
  </si>
  <si>
    <r>
      <t xml:space="preserve"> (</t>
    </r>
    <r>
      <rPr>
        <sz val="12"/>
        <color theme="1"/>
        <rFont val="Rupee Foradian"/>
        <family val="2"/>
      </rPr>
      <t xml:space="preserve">` </t>
    </r>
    <r>
      <rPr>
        <sz val="12"/>
        <color theme="1"/>
        <rFont val="Calibri"/>
        <family val="2"/>
        <scheme val="minor"/>
      </rPr>
      <t xml:space="preserve">in Lakhs)  </t>
    </r>
  </si>
  <si>
    <t xml:space="preserve">Total GOI Share </t>
  </si>
  <si>
    <t>Tentative
Allocation</t>
  </si>
  <si>
    <t>TRIFED</t>
  </si>
  <si>
    <t>Research &amp; Development Projects (R&amp;D)</t>
  </si>
  <si>
    <t>Front Line Demonstration (FLD)</t>
  </si>
  <si>
    <t>Krishi Karman Award (KKA)</t>
  </si>
  <si>
    <t>Krishi Vigyan Kendra (KVK)</t>
  </si>
  <si>
    <t xml:space="preserve">Technical Support Group (TSG) </t>
  </si>
  <si>
    <t>Tree Borne Oilseeds (TBOs)</t>
  </si>
  <si>
    <t>NOVOD</t>
  </si>
  <si>
    <t>Central Agencies MH - (2401)</t>
  </si>
  <si>
    <t>D</t>
  </si>
  <si>
    <t>Grand Total (A+B+C+D)</t>
  </si>
  <si>
    <t>MM-I (Oil Seeds)</t>
  </si>
  <si>
    <t>MM-II (Oil Palm)</t>
  </si>
  <si>
    <t>MM-III (TBOs)</t>
  </si>
  <si>
    <t>Agencies (NSC, KRIBHCO, NAFED, IFFDC, HIL)</t>
  </si>
  <si>
    <t>Total (1+2+3)</t>
  </si>
  <si>
    <r>
      <t xml:space="preserve"> (</t>
    </r>
    <r>
      <rPr>
        <i/>
        <sz val="16"/>
        <color theme="1"/>
        <rFont val="Rupee Foradian"/>
        <family val="2"/>
      </rPr>
      <t xml:space="preserve">` </t>
    </r>
    <r>
      <rPr>
        <i/>
        <sz val="16"/>
        <color theme="1"/>
        <rFont val="Calibri"/>
        <family val="2"/>
        <scheme val="minor"/>
      </rPr>
      <t xml:space="preserve">in Crore)  </t>
    </r>
  </si>
  <si>
    <t>Total (General States)</t>
  </si>
  <si>
    <t>Total (North East Region States)</t>
  </si>
  <si>
    <t>North East Region States MH - (3601)</t>
  </si>
  <si>
    <t>General States MH - (3601)</t>
  </si>
  <si>
    <t>Total (Central Agencies)</t>
  </si>
  <si>
    <t>Total (TBOs)</t>
  </si>
  <si>
    <t>Total (NMOOP)</t>
  </si>
  <si>
    <t>60 %</t>
  </si>
  <si>
    <t>90 %</t>
  </si>
  <si>
    <t>100 %</t>
  </si>
  <si>
    <t>Foreign Traval Expenses</t>
  </si>
  <si>
    <t>Other Contractal Service</t>
  </si>
  <si>
    <t>(i)</t>
  </si>
  <si>
    <t>(ii)</t>
  </si>
  <si>
    <t>(iii)</t>
  </si>
  <si>
    <t>(iv)</t>
  </si>
  <si>
    <t>(v)</t>
  </si>
  <si>
    <t>NSC</t>
  </si>
  <si>
    <t>HIL</t>
  </si>
  <si>
    <t>KRIBHCO</t>
  </si>
  <si>
    <t>NAFED</t>
  </si>
  <si>
    <t>IFFDC</t>
  </si>
  <si>
    <t>Release</t>
  </si>
  <si>
    <t>Annexure-IV</t>
  </si>
  <si>
    <r>
      <t xml:space="preserve"> (</t>
    </r>
    <r>
      <rPr>
        <sz val="12"/>
        <color theme="1"/>
        <rFont val="Rupee Foradian"/>
        <family val="2"/>
      </rPr>
      <t>`</t>
    </r>
    <r>
      <rPr>
        <sz val="12"/>
        <color theme="1"/>
        <rFont val="Calibri"/>
        <family val="2"/>
        <scheme val="minor"/>
      </rPr>
      <t xml:space="preserve"> in lakhs)  </t>
    </r>
  </si>
  <si>
    <t>Name of Scheme</t>
  </si>
  <si>
    <t>Major Heads</t>
  </si>
  <si>
    <r>
      <t xml:space="preserve">2014-15 
</t>
    </r>
    <r>
      <rPr>
        <b/>
        <i/>
        <sz val="11"/>
        <color theme="1"/>
        <rFont val="Calibri"/>
        <family val="2"/>
        <scheme val="minor"/>
      </rPr>
      <t>(NMOOP)</t>
    </r>
  </si>
  <si>
    <r>
      <t xml:space="preserve">2015-16
</t>
    </r>
    <r>
      <rPr>
        <b/>
        <i/>
        <sz val="11"/>
        <color theme="1"/>
        <rFont val="Calibri"/>
        <family val="2"/>
        <scheme val="minor"/>
      </rPr>
      <t>(NMOOP)</t>
    </r>
  </si>
  <si>
    <t>Proposal with IFD for concurrence</t>
  </si>
  <si>
    <t>Allocation</t>
  </si>
  <si>
    <t>BE</t>
  </si>
  <si>
    <t>RE</t>
  </si>
  <si>
    <r>
      <t xml:space="preserve">National Mission on Oilseeds and Oil Palm </t>
    </r>
    <r>
      <rPr>
        <b/>
        <sz val="11"/>
        <color theme="1"/>
        <rFont val="Calibri"/>
        <family val="2"/>
        <scheme val="minor"/>
      </rPr>
      <t>(NMOOP)</t>
    </r>
  </si>
  <si>
    <t xml:space="preserve"> States
(MH: 3601)</t>
  </si>
  <si>
    <t xml:space="preserve"> NE States
(MH: 2552)</t>
  </si>
  <si>
    <t>Central Agencies
(MH :2401)</t>
  </si>
  <si>
    <t>Total</t>
  </si>
  <si>
    <r>
      <t xml:space="preserve">Tree Borne Oilseeds </t>
    </r>
    <r>
      <rPr>
        <b/>
        <sz val="11"/>
        <color theme="1"/>
        <rFont val="Calibri"/>
        <family val="2"/>
        <scheme val="minor"/>
      </rPr>
      <t>(TBOs)</t>
    </r>
  </si>
  <si>
    <t xml:space="preserve">TBOs
(MH :2401)          </t>
  </si>
  <si>
    <t>Grand Total</t>
  </si>
  <si>
    <r>
      <t xml:space="preserve">2016-17
</t>
    </r>
    <r>
      <rPr>
        <b/>
        <i/>
        <sz val="11"/>
        <color theme="1"/>
        <rFont val="Calibri"/>
        <family val="2"/>
        <scheme val="minor"/>
      </rPr>
      <t>(NMOOP)</t>
    </r>
  </si>
  <si>
    <r>
      <t>(</t>
    </r>
    <r>
      <rPr>
        <sz val="11"/>
        <color theme="1"/>
        <rFont val="Rupee Foradian"/>
        <family val="2"/>
      </rPr>
      <t xml:space="preserve">` </t>
    </r>
    <r>
      <rPr>
        <sz val="11"/>
        <color theme="1"/>
        <rFont val="Calibri"/>
        <family val="2"/>
        <scheme val="minor"/>
      </rPr>
      <t>in lakhs)</t>
    </r>
  </si>
  <si>
    <t>Release at glance</t>
  </si>
  <si>
    <t>Amount</t>
  </si>
  <si>
    <t>Actual Release</t>
  </si>
  <si>
    <t xml:space="preserve">Files sent to IFD </t>
  </si>
  <si>
    <t>Name of the State</t>
  </si>
  <si>
    <t>IFD concurred but pending for release</t>
  </si>
  <si>
    <t>IFD concurred and sanctions being issued</t>
  </si>
  <si>
    <t>Sanctions created and Bill under Generation</t>
  </si>
  <si>
    <r>
      <t>(</t>
    </r>
    <r>
      <rPr>
        <sz val="11"/>
        <color theme="1"/>
        <rFont val="Rupee Foradian"/>
        <family val="2"/>
      </rPr>
      <t>`</t>
    </r>
    <r>
      <rPr>
        <sz val="11"/>
        <color theme="1"/>
        <rFont val="Calibri"/>
        <family val="2"/>
        <scheme val="minor"/>
      </rPr>
      <t xml:space="preserve"> in lakh)</t>
    </r>
  </si>
  <si>
    <t>Major Head</t>
  </si>
  <si>
    <t>Grant-in-aid
(Category)</t>
  </si>
  <si>
    <t>2015-16</t>
  </si>
  <si>
    <t xml:space="preserve">3601.02.453.020131 </t>
  </si>
  <si>
    <t>General</t>
  </si>
  <si>
    <t xml:space="preserve">3601.02.789.630431 </t>
  </si>
  <si>
    <t>SC</t>
  </si>
  <si>
    <t xml:space="preserve">3601.02.796.640431 </t>
  </si>
  <si>
    <t>ST</t>
  </si>
  <si>
    <t>Total (3601)</t>
  </si>
  <si>
    <t xml:space="preserve">2552.00.247.040131 </t>
  </si>
  <si>
    <t xml:space="preserve">2552.00.789.800131 </t>
  </si>
  <si>
    <t xml:space="preserve">2552.00.796.790731 </t>
  </si>
  <si>
    <t>Total (2552)</t>
  </si>
  <si>
    <t xml:space="preserve">2401.00.114.150112 </t>
  </si>
  <si>
    <t>Foreign Travel Expenses</t>
  </si>
  <si>
    <t xml:space="preserve">2401.00.114.150128 </t>
  </si>
  <si>
    <t xml:space="preserve">2401.00.114.150130 </t>
  </si>
  <si>
    <t>Other Contractual Service</t>
  </si>
  <si>
    <t xml:space="preserve">2401.00.114.150131 </t>
  </si>
  <si>
    <t>Grant-in-aid General</t>
  </si>
  <si>
    <t xml:space="preserve">2401.00.114.150150 </t>
  </si>
  <si>
    <t xml:space="preserve">2401.00.114.140131 </t>
  </si>
  <si>
    <t>Tree Born Oilseeds</t>
  </si>
  <si>
    <t>Total (2401)</t>
  </si>
  <si>
    <t>Balance against BE</t>
  </si>
  <si>
    <t>2016-17</t>
  </si>
  <si>
    <t>Ist Installment</t>
  </si>
  <si>
    <t>IInd Installment</t>
  </si>
  <si>
    <t>SKUAST-Kashmir</t>
  </si>
  <si>
    <t>Approved
Allocation</t>
  </si>
  <si>
    <t>Percentage against BE</t>
  </si>
  <si>
    <t>Statement Showing Approved Allocation, Release of funds under NMOOP for the year 2016-17 
{Position as on 26.05.2016}</t>
  </si>
  <si>
    <t>Statement Showing Tentative Allocation, Release of funds under NMOOP for the year 2016-17 
{Position as on 26.05.2016}</t>
  </si>
  <si>
    <t>ICAR-IIOR</t>
  </si>
  <si>
    <r>
      <t xml:space="preserve">Agencies </t>
    </r>
    <r>
      <rPr>
        <b/>
        <sz val="11"/>
        <color theme="1"/>
        <rFont val="Calibri"/>
        <family val="2"/>
        <scheme val="minor"/>
      </rPr>
      <t>(NSC, KRIBHCO, NAFED, IFFDC, HIL)</t>
    </r>
  </si>
  <si>
    <t>Minikit</t>
  </si>
  <si>
    <t>Breeder Seed</t>
  </si>
  <si>
    <t>Foundation Seed</t>
  </si>
  <si>
    <t>Certified Seed</t>
  </si>
  <si>
    <t>Distribution Seed</t>
  </si>
  <si>
    <t>Name of the States</t>
  </si>
  <si>
    <t>Name of the Agencies</t>
  </si>
  <si>
    <t>ICAR-CRIDA, Hyderabad</t>
  </si>
  <si>
    <t>CRDT-IIT, Delhi</t>
  </si>
  <si>
    <t>Total (A+B)</t>
  </si>
  <si>
    <t>Agencies and Components</t>
  </si>
  <si>
    <t>Professional Services (NSC for TSG)</t>
  </si>
  <si>
    <r>
      <t xml:space="preserve"> (</t>
    </r>
    <r>
      <rPr>
        <sz val="14"/>
        <color theme="1"/>
        <rFont val="Rupee Foradian"/>
        <family val="2"/>
      </rPr>
      <t xml:space="preserve">` </t>
    </r>
    <r>
      <rPr>
        <sz val="14"/>
        <color theme="1"/>
        <rFont val="Calibri"/>
        <family val="2"/>
        <scheme val="minor"/>
      </rPr>
      <t xml:space="preserve">in Lakhs)  </t>
    </r>
  </si>
  <si>
    <t xml:space="preserve">Details of information given in Annexure –V (page-2)      </t>
  </si>
  <si>
    <t>Merged in 3601 Head</t>
  </si>
  <si>
    <t>ICAR-CAFRI, Jhansi</t>
  </si>
  <si>
    <t>Kumaun University, Uttarakhand</t>
  </si>
  <si>
    <t>Total (2401 + TBOs)</t>
  </si>
  <si>
    <t>Annexure-V</t>
  </si>
  <si>
    <t>Date</t>
  </si>
  <si>
    <t>04.07.2016</t>
  </si>
  <si>
    <t>03.08.2016</t>
  </si>
  <si>
    <t>05.08.2016</t>
  </si>
  <si>
    <t>25.07.2016</t>
  </si>
  <si>
    <t>01.07.2016</t>
  </si>
  <si>
    <t>11.07.2016</t>
  </si>
  <si>
    <t>06.06.2016</t>
  </si>
  <si>
    <t>Statement Showing Installment Wise Released of funds to Central Agencies under NMOOP for the year 2016-17</t>
  </si>
  <si>
    <t>Release Percentage against BE</t>
  </si>
  <si>
    <t>Statement Showing Category &amp; Date Wise Released of funds under NMOOP for the year 2016-17</t>
  </si>
  <si>
    <t>(vi)</t>
  </si>
  <si>
    <t>G.B. Pant Uni. Of Agri. &amp; Tech.</t>
  </si>
  <si>
    <t>Release Installments</t>
  </si>
  <si>
    <t>IGKV, Raipur</t>
  </si>
  <si>
    <t>Status of Release of funds under NMOOP to States during 2016-17</t>
  </si>
  <si>
    <t>State</t>
  </si>
  <si>
    <t xml:space="preserve">1st Installment </t>
  </si>
  <si>
    <t>11 (1+6)</t>
  </si>
  <si>
    <t>12 (2+7)</t>
  </si>
  <si>
    <t>13 (3+8)</t>
  </si>
  <si>
    <t>14 (11+12+13)</t>
  </si>
  <si>
    <t xml:space="preserve">2nd Installment </t>
  </si>
  <si>
    <r>
      <t>(</t>
    </r>
    <r>
      <rPr>
        <i/>
        <sz val="12"/>
        <color theme="1"/>
        <rFont val="Rupee Foradian"/>
        <family val="2"/>
      </rPr>
      <t>`</t>
    </r>
    <r>
      <rPr>
        <i/>
        <sz val="12"/>
        <color theme="1"/>
        <rFont val="Arial Black"/>
        <family val="2"/>
      </rPr>
      <t xml:space="preserve"> in lakh)</t>
    </r>
  </si>
  <si>
    <t>Amount to be proposed</t>
  </si>
  <si>
    <t>Remarks</t>
  </si>
  <si>
    <t>Unspent Balance</t>
  </si>
  <si>
    <t>Queries by IFD</t>
  </si>
  <si>
    <t xml:space="preserve">Clarification sought </t>
  </si>
  <si>
    <t>Action plan being approved</t>
  </si>
  <si>
    <t>Rejected by IFD due to unspent balance</t>
  </si>
  <si>
    <t>Krishi Vigyan Kendra (KVK), ATARIs</t>
  </si>
  <si>
    <t>30.08.2016</t>
  </si>
  <si>
    <t>(vii)</t>
  </si>
  <si>
    <t>IIOPR</t>
  </si>
  <si>
    <t>ICAR-ATARIs (KVKs)</t>
  </si>
  <si>
    <t xml:space="preserve">Uttar Pradesh </t>
  </si>
  <si>
    <t xml:space="preserve">IIOR - Additional FLDs </t>
  </si>
  <si>
    <t>Kisan Mela</t>
  </si>
  <si>
    <t xml:space="preserve">IIOPR, Pedavegi, Andhra Pradesh </t>
  </si>
  <si>
    <t>30.09.2016</t>
  </si>
  <si>
    <t>Statement Showing Status of Release &amp; Pipeline under NMOOP during 2016-17
{Position as on 30.09.2016}</t>
  </si>
  <si>
    <t>DGR</t>
  </si>
  <si>
    <t>(-) 215.6032</t>
  </si>
  <si>
    <t>(-) 615.09</t>
  </si>
  <si>
    <t>Name of the Agency</t>
  </si>
  <si>
    <t>Bills with DDO cash dated 30.09.2016 for onword transmission to PAO</t>
  </si>
  <si>
    <t xml:space="preserve">Bills with PAO Akbar Road dated 30.09.2016 </t>
  </si>
  <si>
    <r>
      <t>(</t>
    </r>
    <r>
      <rPr>
        <sz val="12"/>
        <color theme="1"/>
        <rFont val="Rupee Foradian"/>
        <family val="2"/>
      </rPr>
      <t xml:space="preserve">` </t>
    </r>
    <r>
      <rPr>
        <sz val="12"/>
        <color theme="1"/>
        <rFont val="Calibri"/>
        <family val="2"/>
        <scheme val="minor"/>
      </rPr>
      <t>in lakhs)</t>
    </r>
  </si>
  <si>
    <t>DGR, Junagadh</t>
  </si>
  <si>
    <t>Total NMOOP (A+B+C)</t>
  </si>
  <si>
    <t>Grand Total (NMOOP + TBOs)</t>
  </si>
  <si>
    <t>10.10.2016</t>
  </si>
  <si>
    <t>Odisha - Kisan Mela</t>
  </si>
  <si>
    <t>24.10.2016</t>
  </si>
  <si>
    <t>ICAR-DRMR, Bharatpur</t>
  </si>
  <si>
    <t>07.11.2016</t>
  </si>
  <si>
    <t>DRMR, Bharatpur, Rajasthan</t>
  </si>
  <si>
    <t>NSC - Cost of Breeder Seeds Kharif 2016 Rabi 2015-16</t>
  </si>
  <si>
    <t>HIL - Breeder Seeds Kharif 2016</t>
  </si>
  <si>
    <t>IFFDC - Breeder Seed Kharif 2016</t>
  </si>
  <si>
    <t>OIL SEEDS DIVISION
Details of BE, RE and Release of Funds in respect of NMOOP 2014-15 to 2016-17
(Position as on 06.12.2016)</t>
  </si>
  <si>
    <t>Statement Showing Approved Allocation, Release of funds under NMOOP for the year 2016-17 
{Position as on 06.12.2016}</t>
  </si>
  <si>
    <t>Statement Showing Status of Release &amp; Pipeline under NMOOP during 2016-17
{Position as on 06.12.2016}</t>
  </si>
  <si>
    <t>Statement Showing Major Head Wise BE, RE and  Release of funds under NMOOP for the year 2015-16 and 2016-17 
{Position as on 06.12.2016}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</si>
</sst>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Rupee Foradian"/>
      <family val="2"/>
    </font>
    <font>
      <i/>
      <sz val="16"/>
      <color theme="1"/>
      <name val="Calibri"/>
      <family val="2"/>
      <scheme val="minor"/>
    </font>
    <font>
      <i/>
      <sz val="16"/>
      <color theme="1"/>
      <name val="Rupee Foradian"/>
      <family val="2"/>
    </font>
    <font>
      <b/>
      <i/>
      <sz val="14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Times New Roman"/>
      <family val="1"/>
    </font>
    <font>
      <b/>
      <i/>
      <sz val="18"/>
      <color theme="0"/>
      <name val="Times New Roman"/>
      <family val="1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1"/>
      <color theme="1"/>
      <name val="Rupee Foradian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Rupee Foradian"/>
      <family val="2"/>
    </font>
    <font>
      <b/>
      <sz val="15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u/>
      <sz val="14"/>
      <color theme="1"/>
      <name val="Arial Black"/>
      <family val="2"/>
    </font>
    <font>
      <i/>
      <sz val="12"/>
      <color theme="1"/>
      <name val="Arial Black"/>
      <family val="2"/>
    </font>
    <font>
      <i/>
      <sz val="12"/>
      <color theme="1"/>
      <name val="Rupee Foradian"/>
      <family val="2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9" fontId="14" fillId="0" borderId="0" applyFont="0" applyFill="0" applyBorder="0" applyAlignment="0" applyProtection="0"/>
  </cellStyleXfs>
  <cellXfs count="334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2" fillId="0" borderId="2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6" fillId="3" borderId="7" xfId="0" applyNumberFormat="1" applyFont="1" applyFill="1" applyBorder="1" applyAlignment="1">
      <alignment vertical="top"/>
    </xf>
    <xf numFmtId="0" fontId="12" fillId="4" borderId="2" xfId="0" applyFont="1" applyFill="1" applyBorder="1" applyAlignment="1">
      <alignment vertical="top"/>
    </xf>
    <xf numFmtId="0" fontId="12" fillId="4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right" vertical="top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2" fontId="16" fillId="0" borderId="9" xfId="0" applyNumberFormat="1" applyFont="1" applyBorder="1" applyAlignment="1">
      <alignment vertical="center"/>
    </xf>
    <xf numFmtId="2" fontId="16" fillId="0" borderId="8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2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2" fontId="17" fillId="4" borderId="0" xfId="0" applyNumberFormat="1" applyFont="1" applyFill="1" applyBorder="1" applyAlignment="1">
      <alignment vertical="center"/>
    </xf>
    <xf numFmtId="2" fontId="17" fillId="4" borderId="2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19" fillId="0" borderId="0" xfId="1" applyFont="1" applyAlignment="1" applyProtection="1">
      <alignment wrapText="1"/>
    </xf>
    <xf numFmtId="0" fontId="20" fillId="0" borderId="0" xfId="1" applyFont="1" applyAlignment="1" applyProtection="1">
      <alignment wrapText="1"/>
    </xf>
    <xf numFmtId="0" fontId="18" fillId="0" borderId="0" xfId="1" applyFont="1" applyAlignment="1" applyProtection="1">
      <alignment wrapText="1"/>
    </xf>
    <xf numFmtId="0" fontId="21" fillId="0" borderId="0" xfId="1" applyFont="1" applyAlignment="1" applyProtection="1">
      <alignment wrapText="1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top"/>
    </xf>
    <xf numFmtId="0" fontId="15" fillId="2" borderId="2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center"/>
    </xf>
    <xf numFmtId="2" fontId="15" fillId="2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center"/>
    </xf>
    <xf numFmtId="10" fontId="6" fillId="0" borderId="13" xfId="2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0" fontId="15" fillId="0" borderId="6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vertical="top"/>
    </xf>
    <xf numFmtId="0" fontId="23" fillId="0" borderId="0" xfId="0" applyFont="1" applyAlignment="1">
      <alignment horizontal="center" vertical="center" wrapText="1"/>
    </xf>
    <xf numFmtId="10" fontId="23" fillId="0" borderId="0" xfId="2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2" fontId="0" fillId="0" borderId="2" xfId="0" applyNumberFormat="1" applyBorder="1" applyAlignment="1">
      <alignment horizontal="right" vertical="top" wrapText="1"/>
    </xf>
    <xf numFmtId="2" fontId="15" fillId="0" borderId="2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right" vertical="top" wrapText="1"/>
    </xf>
    <xf numFmtId="2" fontId="15" fillId="0" borderId="2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vertical="top"/>
    </xf>
    <xf numFmtId="2" fontId="26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vertical="top"/>
    </xf>
    <xf numFmtId="0" fontId="26" fillId="0" borderId="2" xfId="0" applyFont="1" applyBorder="1" applyAlignment="1">
      <alignment vertical="top" wrapText="1"/>
    </xf>
    <xf numFmtId="2" fontId="26" fillId="0" borderId="2" xfId="0" applyNumberFormat="1" applyFont="1" applyBorder="1" applyAlignment="1">
      <alignment horizontal="right" vertical="top"/>
    </xf>
    <xf numFmtId="2" fontId="8" fillId="0" borderId="2" xfId="0" applyNumberFormat="1" applyFont="1" applyBorder="1" applyAlignment="1">
      <alignment horizontal="right" vertical="top"/>
    </xf>
    <xf numFmtId="0" fontId="28" fillId="0" borderId="2" xfId="0" applyFont="1" applyBorder="1" applyAlignment="1">
      <alignment horizontal="center" vertical="top"/>
    </xf>
    <xf numFmtId="0" fontId="28" fillId="0" borderId="2" xfId="0" applyFont="1" applyBorder="1" applyAlignment="1">
      <alignment vertical="top" wrapText="1"/>
    </xf>
    <xf numFmtId="2" fontId="25" fillId="0" borderId="2" xfId="0" applyNumberFormat="1" applyFont="1" applyBorder="1" applyAlignment="1">
      <alignment vertical="top"/>
    </xf>
    <xf numFmtId="2" fontId="28" fillId="0" borderId="2" xfId="0" applyNumberFormat="1" applyFont="1" applyBorder="1" applyAlignment="1">
      <alignment horizontal="right" vertical="top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right" vertical="top" wrapText="1"/>
    </xf>
    <xf numFmtId="2" fontId="28" fillId="0" borderId="2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2" fontId="6" fillId="3" borderId="2" xfId="0" applyNumberFormat="1" applyFont="1" applyFill="1" applyBorder="1" applyAlignment="1">
      <alignment vertical="center"/>
    </xf>
    <xf numFmtId="2" fontId="7" fillId="0" borderId="2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vertical="center"/>
    </xf>
    <xf numFmtId="2" fontId="30" fillId="2" borderId="2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top" wrapText="1"/>
    </xf>
    <xf numFmtId="2" fontId="31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top"/>
    </xf>
    <xf numFmtId="2" fontId="6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6" fillId="3" borderId="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32" fillId="0" borderId="2" xfId="0" applyFont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2" xfId="0" applyFont="1" applyBorder="1"/>
    <xf numFmtId="2" fontId="34" fillId="0" borderId="2" xfId="0" applyNumberFormat="1" applyFont="1" applyBorder="1"/>
    <xf numFmtId="2" fontId="34" fillId="5" borderId="2" xfId="0" applyNumberFormat="1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6" fillId="0" borderId="2" xfId="0" applyNumberFormat="1" applyFont="1" applyBorder="1"/>
    <xf numFmtId="0" fontId="36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vertical="top"/>
    </xf>
    <xf numFmtId="2" fontId="34" fillId="0" borderId="2" xfId="0" applyNumberFormat="1" applyFont="1" applyBorder="1" applyAlignment="1">
      <alignment vertical="top"/>
    </xf>
    <xf numFmtId="2" fontId="34" fillId="5" borderId="2" xfId="0" applyNumberFormat="1" applyFont="1" applyFill="1" applyBorder="1" applyAlignment="1">
      <alignment horizontal="center" vertical="top"/>
    </xf>
    <xf numFmtId="0" fontId="34" fillId="5" borderId="2" xfId="0" applyFont="1" applyFill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right" vertical="top"/>
    </xf>
    <xf numFmtId="2" fontId="7" fillId="0" borderId="2" xfId="0" applyNumberFormat="1" applyFont="1" applyFill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8" fillId="0" borderId="0" xfId="0" applyFont="1" applyBorder="1" applyAlignment="1">
      <alignment vertical="top" wrapText="1"/>
    </xf>
    <xf numFmtId="2" fontId="35" fillId="0" borderId="2" xfId="0" applyNumberFormat="1" applyFont="1" applyBorder="1" applyAlignment="1">
      <alignment horizontal="right" vertical="center" wrapText="1"/>
    </xf>
    <xf numFmtId="2" fontId="34" fillId="0" borderId="2" xfId="0" applyNumberFormat="1" applyFont="1" applyBorder="1" applyAlignment="1">
      <alignment horizontal="right" vertical="top" wrapText="1"/>
    </xf>
    <xf numFmtId="2" fontId="36" fillId="0" borderId="2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top" wrapText="1"/>
    </xf>
    <xf numFmtId="2" fontId="1" fillId="0" borderId="0" xfId="0" applyNumberFormat="1" applyFont="1"/>
    <xf numFmtId="2" fontId="1" fillId="0" borderId="11" xfId="0" applyNumberFormat="1" applyFont="1" applyBorder="1" applyAlignment="1">
      <alignment horizontal="right"/>
    </xf>
    <xf numFmtId="2" fontId="2" fillId="0" borderId="15" xfId="0" applyNumberFormat="1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horizontal="right"/>
    </xf>
    <xf numFmtId="2" fontId="2" fillId="0" borderId="16" xfId="0" applyNumberFormat="1" applyFont="1" applyBorder="1"/>
    <xf numFmtId="0" fontId="26" fillId="0" borderId="0" xfId="0" applyFont="1"/>
    <xf numFmtId="2" fontId="26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27" fillId="4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/>
    </xf>
    <xf numFmtId="0" fontId="3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37" fillId="0" borderId="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top"/>
    </xf>
    <xf numFmtId="0" fontId="36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right" vertical="center" wrapText="1"/>
    </xf>
    <xf numFmtId="0" fontId="18" fillId="0" borderId="0" xfId="1" applyFont="1" applyAlignment="1" applyProtection="1">
      <alignment horizontal="center" vertical="center" wrapText="1"/>
    </xf>
    <xf numFmtId="0" fontId="1" fillId="0" borderId="1" xfId="0" applyFont="1" applyBorder="1" applyAlignment="1">
      <alignment horizontal="right" vertical="top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2" fontId="26" fillId="0" borderId="2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top"/>
    </xf>
    <xf numFmtId="2" fontId="30" fillId="2" borderId="2" xfId="0" applyNumberFormat="1" applyFont="1" applyFill="1" applyBorder="1" applyAlignment="1">
      <alignment horizontal="right" vertical="center"/>
    </xf>
    <xf numFmtId="2" fontId="26" fillId="0" borderId="3" xfId="0" applyNumberFormat="1" applyFont="1" applyBorder="1" applyAlignment="1">
      <alignment horizontal="right" vertical="center"/>
    </xf>
    <xf numFmtId="2" fontId="26" fillId="0" borderId="4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top"/>
    </xf>
    <xf numFmtId="2" fontId="30" fillId="2" borderId="3" xfId="0" applyNumberFormat="1" applyFont="1" applyFill="1" applyBorder="1" applyAlignment="1">
      <alignment horizontal="right" vertical="center"/>
    </xf>
    <xf numFmtId="2" fontId="30" fillId="2" borderId="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10" fontId="23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2" fontId="3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2940840</xdr:colOff>
      <xdr:row>62</xdr:row>
      <xdr:rowOff>154781</xdr:rowOff>
    </xdr:from>
    <xdr:to>
      <xdr:col>8</xdr:col>
      <xdr:colOff>3807</xdr:colOff>
      <xdr:row>62</xdr:row>
      <xdr:rowOff>154781</xdr:rowOff>
    </xdr:to>
    <xdr:cxnSp macro="">
      <xdr:nvCxnSpPr>
        <xdr:cNvPr id="2" name="Straight Arrow Connector 1"/>
        <xdr:cNvCxnSpPr/>
      </xdr:nvCxnSpPr>
      <xdr:spPr>
        <a:xfrm>
          <a:off x="3274215" y="14213681"/>
          <a:ext cx="509254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2950369</xdr:colOff>
      <xdr:row>63</xdr:row>
      <xdr:rowOff>140491</xdr:rowOff>
    </xdr:from>
    <xdr:to>
      <xdr:col>8</xdr:col>
      <xdr:colOff>6191</xdr:colOff>
      <xdr:row>63</xdr:row>
      <xdr:rowOff>140491</xdr:rowOff>
    </xdr:to>
    <xdr:cxnSp macro="">
      <xdr:nvCxnSpPr>
        <xdr:cNvPr id="3" name="Straight Arrow Connector 2"/>
        <xdr:cNvCxnSpPr/>
      </xdr:nvCxnSpPr>
      <xdr:spPr>
        <a:xfrm>
          <a:off x="3274219" y="14475616"/>
          <a:ext cx="509492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2947991</xdr:colOff>
      <xdr:row>65</xdr:row>
      <xdr:rowOff>126201</xdr:rowOff>
    </xdr:from>
    <xdr:to>
      <xdr:col>8</xdr:col>
      <xdr:colOff>3813</xdr:colOff>
      <xdr:row>65</xdr:row>
      <xdr:rowOff>126201</xdr:rowOff>
    </xdr:to>
    <xdr:cxnSp macro="">
      <xdr:nvCxnSpPr>
        <xdr:cNvPr id="4" name="Straight Arrow Connector 3"/>
        <xdr:cNvCxnSpPr/>
      </xdr:nvCxnSpPr>
      <xdr:spPr>
        <a:xfrm>
          <a:off x="3271841" y="15013776"/>
          <a:ext cx="509492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2940840</xdr:colOff>
      <xdr:row>59</xdr:row>
      <xdr:rowOff>154781</xdr:rowOff>
    </xdr:from>
    <xdr:to>
      <xdr:col>8</xdr:col>
      <xdr:colOff>3807</xdr:colOff>
      <xdr:row>59</xdr:row>
      <xdr:rowOff>154781</xdr:rowOff>
    </xdr:to>
    <xdr:cxnSp macro="">
      <xdr:nvCxnSpPr>
        <xdr:cNvPr id="2" name="Straight Arrow Connector 1"/>
        <xdr:cNvCxnSpPr/>
      </xdr:nvCxnSpPr>
      <xdr:spPr>
        <a:xfrm>
          <a:off x="3274215" y="14213681"/>
          <a:ext cx="509254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2950369</xdr:colOff>
      <xdr:row>60</xdr:row>
      <xdr:rowOff>140491</xdr:rowOff>
    </xdr:from>
    <xdr:to>
      <xdr:col>8</xdr:col>
      <xdr:colOff>6191</xdr:colOff>
      <xdr:row>60</xdr:row>
      <xdr:rowOff>140491</xdr:rowOff>
    </xdr:to>
    <xdr:cxnSp macro="">
      <xdr:nvCxnSpPr>
        <xdr:cNvPr id="3" name="Straight Arrow Connector 2"/>
        <xdr:cNvCxnSpPr/>
      </xdr:nvCxnSpPr>
      <xdr:spPr>
        <a:xfrm>
          <a:off x="3274219" y="14475616"/>
          <a:ext cx="509492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2947991</xdr:colOff>
      <xdr:row>62</xdr:row>
      <xdr:rowOff>126201</xdr:rowOff>
    </xdr:from>
    <xdr:to>
      <xdr:col>8</xdr:col>
      <xdr:colOff>3813</xdr:colOff>
      <xdr:row>62</xdr:row>
      <xdr:rowOff>126201</xdr:rowOff>
    </xdr:to>
    <xdr:cxnSp macro="">
      <xdr:nvCxnSpPr>
        <xdr:cNvPr id="4" name="Straight Arrow Connector 3"/>
        <xdr:cNvCxnSpPr/>
      </xdr:nvCxnSpPr>
      <xdr:spPr>
        <a:xfrm>
          <a:off x="3271841" y="15013776"/>
          <a:ext cx="509492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6" zoomScaleNormal="100" workbookViewId="0">
      <selection activeCell="F26" sqref="F26"/>
    </sheetView>
  </sheetViews>
  <sheetFormatPr defaultColWidth="9.140625" defaultRowHeight="18.75"/>
  <cols>
    <col min="1" max="1" width="9.28515625" style="189" customWidth="1"/>
    <col min="2" max="2" width="23.85546875" style="162" customWidth="1"/>
    <col min="3" max="4" width="15.7109375" style="162" customWidth="1"/>
    <col min="5" max="5" width="15.7109375" style="189" customWidth="1"/>
    <col min="6" max="6" width="15.7109375" style="162" customWidth="1"/>
    <col min="7" max="7" width="15.7109375" style="189" customWidth="1"/>
    <col min="8" max="8" width="24.85546875" style="189" customWidth="1"/>
    <col min="9" max="16384" width="9.140625" style="162"/>
  </cols>
  <sheetData>
    <row r="1" spans="1:8" ht="22.5">
      <c r="A1" s="244" t="s">
        <v>179</v>
      </c>
      <c r="B1" s="244"/>
      <c r="C1" s="244"/>
      <c r="D1" s="244"/>
      <c r="E1" s="244"/>
      <c r="F1" s="244"/>
      <c r="G1" s="244"/>
      <c r="H1" s="244"/>
    </row>
    <row r="2" spans="1:8" ht="19.5">
      <c r="A2" s="245" t="s">
        <v>187</v>
      </c>
      <c r="B2" s="245"/>
      <c r="C2" s="245"/>
      <c r="D2" s="245"/>
      <c r="E2" s="245"/>
      <c r="F2" s="245"/>
      <c r="G2" s="245"/>
      <c r="H2" s="245"/>
    </row>
    <row r="3" spans="1:8" ht="22.5">
      <c r="A3" s="246" t="s">
        <v>0</v>
      </c>
      <c r="B3" s="242" t="s">
        <v>180</v>
      </c>
      <c r="C3" s="242" t="s">
        <v>87</v>
      </c>
      <c r="D3" s="238" t="s">
        <v>181</v>
      </c>
      <c r="E3" s="238"/>
      <c r="F3" s="238" t="s">
        <v>186</v>
      </c>
      <c r="G3" s="238"/>
      <c r="H3" s="239" t="s">
        <v>189</v>
      </c>
    </row>
    <row r="4" spans="1:8" s="163" customFormat="1" ht="19.5">
      <c r="A4" s="247"/>
      <c r="B4" s="242"/>
      <c r="C4" s="242"/>
      <c r="D4" s="190" t="s">
        <v>79</v>
      </c>
      <c r="E4" s="177" t="s">
        <v>164</v>
      </c>
      <c r="F4" s="190" t="s">
        <v>79</v>
      </c>
      <c r="G4" s="177" t="s">
        <v>164</v>
      </c>
      <c r="H4" s="239"/>
    </row>
    <row r="5" spans="1:8">
      <c r="A5" s="165">
        <v>1</v>
      </c>
      <c r="B5" s="166" t="s">
        <v>15</v>
      </c>
      <c r="C5" s="167">
        <f>ADC!O22</f>
        <v>900.84699999999998</v>
      </c>
      <c r="D5" s="167">
        <f>'Category Wise'!F20</f>
        <v>450.42349999999999</v>
      </c>
      <c r="E5" s="168" t="str">
        <f>'Category Wise'!G20</f>
        <v>06.06.2016</v>
      </c>
      <c r="F5" s="167"/>
      <c r="G5" s="169"/>
      <c r="H5" s="179"/>
    </row>
    <row r="6" spans="1:8">
      <c r="A6" s="165">
        <v>2</v>
      </c>
      <c r="B6" s="166" t="s">
        <v>11</v>
      </c>
      <c r="C6" s="167">
        <f>ADC!O18</f>
        <v>5934.01</v>
      </c>
      <c r="D6" s="167">
        <f>'Category Wise'!F16</f>
        <v>2967.0050000000001</v>
      </c>
      <c r="E6" s="168" t="str">
        <f>'Category Wise'!G16</f>
        <v>01.07.2016</v>
      </c>
      <c r="F6" s="167"/>
      <c r="G6" s="169"/>
      <c r="H6" s="179"/>
    </row>
    <row r="7" spans="1:8">
      <c r="A7" s="165">
        <v>3</v>
      </c>
      <c r="B7" s="166" t="s">
        <v>25</v>
      </c>
      <c r="C7" s="167">
        <f>ADC!O33</f>
        <v>1447.9659999999999</v>
      </c>
      <c r="D7" s="167">
        <f>'Category Wise'!F31</f>
        <v>723.98299999999995</v>
      </c>
      <c r="E7" s="168" t="str">
        <f>'Category Wise'!G31</f>
        <v>01.07.2016</v>
      </c>
      <c r="F7" s="167"/>
      <c r="G7" s="169"/>
      <c r="H7" s="179"/>
    </row>
    <row r="8" spans="1:8">
      <c r="A8" s="165">
        <v>4</v>
      </c>
      <c r="B8" s="166" t="s">
        <v>21</v>
      </c>
      <c r="C8" s="167">
        <f>ADC!O29</f>
        <v>604.97300000000007</v>
      </c>
      <c r="D8" s="167">
        <f>'Category Wise'!F27</f>
        <v>302.48649999999998</v>
      </c>
      <c r="E8" s="168" t="str">
        <f>'Category Wise'!G27</f>
        <v>03.08.2016</v>
      </c>
      <c r="F8" s="167"/>
      <c r="G8" s="169"/>
      <c r="H8" s="179"/>
    </row>
    <row r="9" spans="1:8">
      <c r="A9" s="165">
        <v>5</v>
      </c>
      <c r="B9" s="166" t="s">
        <v>1</v>
      </c>
      <c r="C9" s="167">
        <f>ADC!O8</f>
        <v>5243.1900000000005</v>
      </c>
      <c r="D9" s="167">
        <f>'Category Wise'!F6</f>
        <v>1310.798</v>
      </c>
      <c r="E9" s="168" t="str">
        <f>'Category Wise'!G6</f>
        <v>04.07.2016</v>
      </c>
      <c r="F9" s="167"/>
      <c r="G9" s="169"/>
      <c r="H9" s="179"/>
    </row>
    <row r="10" spans="1:8">
      <c r="A10" s="165">
        <v>6</v>
      </c>
      <c r="B10" s="166" t="s">
        <v>3</v>
      </c>
      <c r="C10" s="167">
        <f>ADC!O10</f>
        <v>1047.616</v>
      </c>
      <c r="D10" s="167">
        <f>'Category Wise'!F8</f>
        <v>400</v>
      </c>
      <c r="E10" s="168" t="str">
        <f>'Category Wise'!G8</f>
        <v>04.07.2016</v>
      </c>
      <c r="F10" s="167"/>
      <c r="G10" s="169"/>
      <c r="H10" s="179"/>
    </row>
    <row r="11" spans="1:8">
      <c r="A11" s="165">
        <v>7</v>
      </c>
      <c r="B11" s="166" t="s">
        <v>14</v>
      </c>
      <c r="C11" s="167">
        <f>ADC!O21</f>
        <v>6019.96</v>
      </c>
      <c r="D11" s="167">
        <f>'Category Wise'!F19</f>
        <v>1500</v>
      </c>
      <c r="E11" s="168" t="str">
        <f>'Category Wise'!G19</f>
        <v>11.07.2016</v>
      </c>
      <c r="F11" s="167"/>
      <c r="G11" s="169"/>
      <c r="H11" s="179"/>
    </row>
    <row r="12" spans="1:8">
      <c r="A12" s="165">
        <v>8</v>
      </c>
      <c r="B12" s="166" t="s">
        <v>18</v>
      </c>
      <c r="C12" s="167">
        <f>ADC!O26</f>
        <v>1337.22</v>
      </c>
      <c r="D12" s="167">
        <f>'Category Wise'!F24</f>
        <v>400</v>
      </c>
      <c r="E12" s="168" t="str">
        <f>'Category Wise'!G24</f>
        <v>11.07.2016</v>
      </c>
      <c r="F12" s="167"/>
      <c r="G12" s="169"/>
      <c r="H12" s="179"/>
    </row>
    <row r="13" spans="1:8">
      <c r="A13" s="165">
        <v>9</v>
      </c>
      <c r="B13" s="166" t="s">
        <v>10</v>
      </c>
      <c r="C13" s="167">
        <f>ADC!O17</f>
        <v>9658.1799999999985</v>
      </c>
      <c r="D13" s="167">
        <f>'Category Wise'!F15</f>
        <v>2577.69</v>
      </c>
      <c r="E13" s="168" t="str">
        <f>'Category Wise'!G15</f>
        <v>04.07.2016</v>
      </c>
      <c r="F13" s="167"/>
      <c r="G13" s="169"/>
      <c r="H13" s="179"/>
    </row>
    <row r="14" spans="1:8">
      <c r="A14" s="165">
        <v>10</v>
      </c>
      <c r="B14" s="166" t="s">
        <v>8</v>
      </c>
      <c r="C14" s="167">
        <f>ADC!O15</f>
        <v>2111.29</v>
      </c>
      <c r="D14" s="167">
        <f>'Category Wise'!F13</f>
        <v>1056</v>
      </c>
      <c r="E14" s="168" t="str">
        <f>'Category Wise'!G13</f>
        <v>25.07.2016</v>
      </c>
      <c r="F14" s="167"/>
      <c r="G14" s="169"/>
      <c r="H14" s="179"/>
    </row>
    <row r="15" spans="1:8">
      <c r="A15" s="165">
        <v>11</v>
      </c>
      <c r="B15" s="166" t="s">
        <v>26</v>
      </c>
      <c r="C15" s="167">
        <f>ADC!O34</f>
        <v>573.6</v>
      </c>
      <c r="D15" s="167">
        <f>'Category Wise'!F32</f>
        <v>286.8</v>
      </c>
      <c r="E15" s="168" t="str">
        <f>'Category Wise'!G32</f>
        <v>25.07.2016</v>
      </c>
      <c r="F15" s="167"/>
      <c r="G15" s="169"/>
      <c r="H15" s="179"/>
    </row>
    <row r="16" spans="1:8">
      <c r="A16" s="165">
        <v>12</v>
      </c>
      <c r="B16" s="166" t="s">
        <v>7</v>
      </c>
      <c r="C16" s="167">
        <f>ADC!O14</f>
        <v>381</v>
      </c>
      <c r="D16" s="167">
        <f>'Category Wise'!F12</f>
        <v>127</v>
      </c>
      <c r="E16" s="168" t="str">
        <f>'Category Wise'!G12</f>
        <v>05.08.2016</v>
      </c>
      <c r="F16" s="167"/>
      <c r="G16" s="169"/>
      <c r="H16" s="179"/>
    </row>
    <row r="17" spans="1:8">
      <c r="A17" s="165">
        <v>13</v>
      </c>
      <c r="B17" s="166" t="s">
        <v>19</v>
      </c>
      <c r="C17" s="167">
        <f>ADC!O25</f>
        <v>70.25</v>
      </c>
      <c r="D17" s="167">
        <f>'Category Wise'!F23</f>
        <v>51.37</v>
      </c>
      <c r="E17" s="168" t="str">
        <f>'Category Wise'!G23</f>
        <v>05.08.2016</v>
      </c>
      <c r="F17" s="167"/>
      <c r="G17" s="169"/>
      <c r="H17" s="179"/>
    </row>
    <row r="18" spans="1:8">
      <c r="A18" s="165">
        <v>14</v>
      </c>
      <c r="B18" s="173" t="s">
        <v>4</v>
      </c>
      <c r="C18" s="167">
        <v>3964.21</v>
      </c>
      <c r="D18" s="167">
        <v>2333.9297999999999</v>
      </c>
      <c r="E18" s="168" t="s">
        <v>196</v>
      </c>
      <c r="F18" s="167"/>
      <c r="G18" s="169"/>
      <c r="H18" s="179"/>
    </row>
    <row r="19" spans="1:8" ht="19.5">
      <c r="A19" s="241" t="s">
        <v>94</v>
      </c>
      <c r="B19" s="241"/>
      <c r="C19" s="170">
        <f>SUM(C5:C18)</f>
        <v>39294.311999999998</v>
      </c>
      <c r="D19" s="170">
        <f>SUM(D5:D18)</f>
        <v>14487.4858</v>
      </c>
      <c r="E19" s="191"/>
      <c r="F19" s="170">
        <f>SUM(F9:F17)</f>
        <v>0</v>
      </c>
      <c r="G19" s="191"/>
      <c r="H19" s="191"/>
    </row>
    <row r="20" spans="1:8" ht="18" customHeight="1"/>
    <row r="21" spans="1:8" ht="18.75" customHeight="1">
      <c r="A21" s="243" t="s">
        <v>103</v>
      </c>
      <c r="B21" s="243"/>
      <c r="C21" s="243"/>
      <c r="D21" s="243"/>
      <c r="E21" s="207"/>
      <c r="G21" s="197"/>
      <c r="H21" s="197"/>
    </row>
    <row r="22" spans="1:8" ht="18" customHeight="1">
      <c r="A22" s="174"/>
      <c r="B22" s="175"/>
      <c r="C22" s="175"/>
      <c r="D22" s="175"/>
      <c r="E22" s="201"/>
      <c r="G22" s="197"/>
      <c r="H22" s="197"/>
    </row>
    <row r="23" spans="1:8" ht="56.25">
      <c r="A23" s="202" t="s">
        <v>0</v>
      </c>
      <c r="B23" s="202" t="s">
        <v>104</v>
      </c>
      <c r="C23" s="200" t="s">
        <v>87</v>
      </c>
      <c r="D23" s="202" t="s">
        <v>188</v>
      </c>
      <c r="E23" s="162"/>
      <c r="F23" s="205"/>
      <c r="G23" s="197"/>
      <c r="H23" s="197"/>
    </row>
    <row r="24" spans="1:8" ht="19.5">
      <c r="A24" s="202">
        <v>1</v>
      </c>
      <c r="B24" s="199" t="s">
        <v>8</v>
      </c>
      <c r="C24" s="210">
        <v>2111.29</v>
      </c>
      <c r="D24" s="208">
        <v>770</v>
      </c>
      <c r="E24" s="162"/>
      <c r="F24" s="205"/>
      <c r="G24" s="204"/>
      <c r="H24" s="204"/>
    </row>
    <row r="25" spans="1:8" ht="18.75" customHeight="1">
      <c r="A25" s="236">
        <v>2</v>
      </c>
      <c r="B25" s="173" t="s">
        <v>14</v>
      </c>
      <c r="C25" s="167">
        <v>6019.96</v>
      </c>
      <c r="D25" s="209">
        <v>827</v>
      </c>
      <c r="E25" s="162"/>
      <c r="F25" s="206"/>
      <c r="G25" s="204"/>
      <c r="H25" s="204"/>
    </row>
    <row r="26" spans="1:8" ht="18.75" customHeight="1">
      <c r="A26" s="236">
        <v>3</v>
      </c>
      <c r="B26" s="199" t="s">
        <v>17</v>
      </c>
      <c r="C26" s="167">
        <v>1660.49</v>
      </c>
      <c r="D26" s="208">
        <v>490</v>
      </c>
      <c r="E26" s="162"/>
      <c r="F26" s="205"/>
      <c r="G26" s="204"/>
      <c r="H26" s="204"/>
    </row>
    <row r="27" spans="1:8" ht="18.75" customHeight="1">
      <c r="A27" s="236">
        <v>4</v>
      </c>
      <c r="B27" s="199" t="s">
        <v>18</v>
      </c>
      <c r="C27" s="167">
        <v>1337.22</v>
      </c>
      <c r="D27" s="208">
        <v>223</v>
      </c>
      <c r="E27" s="162"/>
      <c r="F27" s="205"/>
      <c r="G27" s="204"/>
      <c r="H27" s="204"/>
    </row>
    <row r="29" spans="1:8" ht="22.5">
      <c r="A29" s="242" t="s">
        <v>0</v>
      </c>
      <c r="B29" s="242" t="s">
        <v>180</v>
      </c>
      <c r="C29" s="242" t="s">
        <v>87</v>
      </c>
      <c r="D29" s="238" t="s">
        <v>181</v>
      </c>
      <c r="E29" s="238"/>
      <c r="F29" s="238" t="s">
        <v>186</v>
      </c>
      <c r="G29" s="238"/>
      <c r="H29" s="239" t="s">
        <v>189</v>
      </c>
    </row>
    <row r="30" spans="1:8" s="163" customFormat="1" ht="19.5">
      <c r="A30" s="242"/>
      <c r="B30" s="242"/>
      <c r="C30" s="242"/>
      <c r="D30" s="198" t="s">
        <v>79</v>
      </c>
      <c r="E30" s="177" t="s">
        <v>164</v>
      </c>
      <c r="F30" s="198" t="s">
        <v>79</v>
      </c>
      <c r="G30" s="177" t="s">
        <v>164</v>
      </c>
      <c r="H30" s="239"/>
    </row>
    <row r="31" spans="1:8">
      <c r="A31" s="196">
        <v>1</v>
      </c>
      <c r="B31" s="185" t="s">
        <v>22</v>
      </c>
      <c r="C31" s="186">
        <f>ADC!O30</f>
        <v>1875.1019999999999</v>
      </c>
      <c r="D31" s="186">
        <f>'Category Wise'!F28</f>
        <v>0</v>
      </c>
      <c r="E31" s="187"/>
      <c r="F31" s="186"/>
      <c r="G31" s="188"/>
      <c r="H31" s="183" t="s">
        <v>190</v>
      </c>
    </row>
    <row r="32" spans="1:8">
      <c r="A32" s="196">
        <v>2</v>
      </c>
      <c r="B32" s="185" t="s">
        <v>2</v>
      </c>
      <c r="C32" s="186">
        <f>ADC!O9</f>
        <v>150.52000000000001</v>
      </c>
      <c r="D32" s="186">
        <f>'Category Wise'!F7</f>
        <v>0</v>
      </c>
      <c r="E32" s="187"/>
      <c r="F32" s="186"/>
      <c r="G32" s="188"/>
      <c r="H32" s="183" t="s">
        <v>190</v>
      </c>
    </row>
    <row r="33" spans="1:8">
      <c r="A33" s="196">
        <v>3</v>
      </c>
      <c r="B33" s="185" t="s">
        <v>5</v>
      </c>
      <c r="C33" s="186">
        <f>ADC!O12</f>
        <v>787</v>
      </c>
      <c r="D33" s="186">
        <f>'Category Wise'!F10</f>
        <v>0</v>
      </c>
      <c r="E33" s="187"/>
      <c r="F33" s="186"/>
      <c r="G33" s="188"/>
      <c r="H33" s="183" t="s">
        <v>190</v>
      </c>
    </row>
    <row r="34" spans="1:8" ht="37.5">
      <c r="A34" s="196">
        <v>4</v>
      </c>
      <c r="B34" s="185" t="s">
        <v>6</v>
      </c>
      <c r="C34" s="186">
        <f>ADC!O13</f>
        <v>100.67999999999999</v>
      </c>
      <c r="D34" s="186">
        <f>'Category Wise'!F11</f>
        <v>0</v>
      </c>
      <c r="E34" s="187"/>
      <c r="F34" s="186"/>
      <c r="G34" s="188"/>
      <c r="H34" s="183" t="s">
        <v>192</v>
      </c>
    </row>
    <row r="35" spans="1:8" ht="37.5">
      <c r="A35" s="196">
        <v>5</v>
      </c>
      <c r="B35" s="185" t="s">
        <v>9</v>
      </c>
      <c r="C35" s="186">
        <f>ADC!O16</f>
        <v>13.86</v>
      </c>
      <c r="D35" s="186">
        <f>'Category Wise'!F14</f>
        <v>0</v>
      </c>
      <c r="E35" s="187"/>
      <c r="F35" s="186"/>
      <c r="G35" s="188"/>
      <c r="H35" s="183" t="s">
        <v>192</v>
      </c>
    </row>
    <row r="36" spans="1:8" ht="37.5">
      <c r="A36" s="196">
        <v>6</v>
      </c>
      <c r="B36" s="185" t="s">
        <v>23</v>
      </c>
      <c r="C36" s="186">
        <f>ADC!O31</f>
        <v>152.41999999999999</v>
      </c>
      <c r="D36" s="186">
        <f>'Category Wise'!F29</f>
        <v>91.45</v>
      </c>
      <c r="E36" s="187"/>
      <c r="F36" s="186"/>
      <c r="G36" s="188"/>
      <c r="H36" s="183" t="s">
        <v>192</v>
      </c>
    </row>
    <row r="37" spans="1:8">
      <c r="A37" s="196">
        <v>7</v>
      </c>
      <c r="B37" s="185" t="s">
        <v>24</v>
      </c>
      <c r="C37" s="186">
        <f>ADC!O32</f>
        <v>49.14</v>
      </c>
      <c r="D37" s="186">
        <f>'Category Wise'!F30</f>
        <v>0</v>
      </c>
      <c r="E37" s="187"/>
      <c r="F37" s="186"/>
      <c r="G37" s="188"/>
      <c r="H37" s="183" t="s">
        <v>190</v>
      </c>
    </row>
    <row r="38" spans="1:8">
      <c r="A38" s="196">
        <v>8</v>
      </c>
      <c r="B38" s="185" t="s">
        <v>13</v>
      </c>
      <c r="C38" s="186">
        <f>ADC!O20</f>
        <v>62.93</v>
      </c>
      <c r="D38" s="186">
        <f>'Category Wise'!F18</f>
        <v>0</v>
      </c>
      <c r="E38" s="187"/>
      <c r="F38" s="186"/>
      <c r="G38" s="188"/>
      <c r="H38" s="183" t="s">
        <v>190</v>
      </c>
    </row>
    <row r="39" spans="1:8">
      <c r="A39" s="196">
        <v>9</v>
      </c>
      <c r="B39" s="185" t="s">
        <v>27</v>
      </c>
      <c r="C39" s="186">
        <f>ADC!O35</f>
        <v>0</v>
      </c>
      <c r="D39" s="186">
        <f>'Category Wise'!F33</f>
        <v>0</v>
      </c>
      <c r="E39" s="187"/>
      <c r="F39" s="186"/>
      <c r="G39" s="188"/>
      <c r="H39" s="183" t="s">
        <v>190</v>
      </c>
    </row>
    <row r="40" spans="1:8">
      <c r="A40" s="196">
        <v>10</v>
      </c>
      <c r="B40" s="185" t="s">
        <v>16</v>
      </c>
      <c r="C40" s="186">
        <f>ADC!O23</f>
        <v>1096.81</v>
      </c>
      <c r="D40" s="186">
        <f>'Category Wise'!F21</f>
        <v>0</v>
      </c>
      <c r="E40" s="187"/>
      <c r="F40" s="186"/>
      <c r="G40" s="188"/>
      <c r="H40" s="183" t="s">
        <v>190</v>
      </c>
    </row>
    <row r="41" spans="1:8">
      <c r="A41" s="196">
        <v>11</v>
      </c>
      <c r="B41" s="185" t="s">
        <v>28</v>
      </c>
      <c r="C41" s="186">
        <f>ADC!O36</f>
        <v>103.86</v>
      </c>
      <c r="D41" s="186">
        <f>'Category Wise'!F34</f>
        <v>62.25</v>
      </c>
      <c r="E41" s="187"/>
      <c r="F41" s="186"/>
      <c r="G41" s="188"/>
      <c r="H41" s="183" t="s">
        <v>190</v>
      </c>
    </row>
    <row r="42" spans="1:8">
      <c r="A42" s="240" t="s">
        <v>94</v>
      </c>
      <c r="B42" s="240"/>
      <c r="C42" s="186">
        <f>SUM(C31:C41)</f>
        <v>4392.3219999999992</v>
      </c>
      <c r="D42" s="186">
        <f>SUM(D31:D41)</f>
        <v>153.69999999999999</v>
      </c>
      <c r="E42" s="196"/>
      <c r="F42" s="185"/>
      <c r="G42" s="196"/>
      <c r="H42" s="165"/>
    </row>
  </sheetData>
  <mergeCells count="17">
    <mergeCell ref="A1:H1"/>
    <mergeCell ref="A2:H2"/>
    <mergeCell ref="A3:A4"/>
    <mergeCell ref="B3:B4"/>
    <mergeCell ref="C3:C4"/>
    <mergeCell ref="D3:E3"/>
    <mergeCell ref="F3:G3"/>
    <mergeCell ref="H3:H4"/>
    <mergeCell ref="F29:G29"/>
    <mergeCell ref="H29:H30"/>
    <mergeCell ref="D29:E29"/>
    <mergeCell ref="A42:B42"/>
    <mergeCell ref="A19:B19"/>
    <mergeCell ref="A29:A30"/>
    <mergeCell ref="B29:B30"/>
    <mergeCell ref="C29:C30"/>
    <mergeCell ref="A21:D21"/>
  </mergeCells>
  <printOptions horizontalCentered="1"/>
  <pageMargins left="0.5" right="0.5" top="0.5" bottom="0.5" header="0.5" footer="0.5"/>
  <pageSetup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F7" sqref="F7"/>
    </sheetView>
  </sheetViews>
  <sheetFormatPr defaultColWidth="9" defaultRowHeight="15.75"/>
  <cols>
    <col min="1" max="1" width="9.42578125" style="211" customWidth="1"/>
    <col min="2" max="2" width="27.42578125" style="211" customWidth="1"/>
    <col min="3" max="3" width="26.42578125" style="211" customWidth="1"/>
    <col min="4" max="4" width="23.7109375" style="211" customWidth="1"/>
    <col min="5" max="16384" width="9" style="211"/>
  </cols>
  <sheetData>
    <row r="1" spans="1:4" s="231" customFormat="1" ht="48" customHeight="1">
      <c r="A1" s="327" t="s">
        <v>205</v>
      </c>
      <c r="B1" s="327"/>
      <c r="C1" s="327"/>
      <c r="D1" s="327"/>
    </row>
    <row r="2" spans="1:4">
      <c r="A2" s="212"/>
      <c r="B2" s="213"/>
      <c r="C2" s="213"/>
      <c r="D2" s="213"/>
    </row>
    <row r="3" spans="1:4">
      <c r="A3" s="328" t="s">
        <v>212</v>
      </c>
      <c r="B3" s="328"/>
      <c r="C3" s="328"/>
      <c r="D3" s="328"/>
    </row>
    <row r="4" spans="1:4">
      <c r="A4" s="214" t="s">
        <v>0</v>
      </c>
      <c r="B4" s="326" t="s">
        <v>100</v>
      </c>
      <c r="C4" s="326"/>
      <c r="D4" s="214" t="s">
        <v>101</v>
      </c>
    </row>
    <row r="5" spans="1:4">
      <c r="A5" s="215">
        <v>1</v>
      </c>
      <c r="B5" s="329" t="s">
        <v>102</v>
      </c>
      <c r="C5" s="329"/>
      <c r="D5" s="216">
        <f>ADC!P76</f>
        <v>26940.731470000002</v>
      </c>
    </row>
    <row r="6" spans="1:4">
      <c r="A6" s="215">
        <v>2</v>
      </c>
      <c r="B6" s="330" t="s">
        <v>103</v>
      </c>
      <c r="C6" s="331"/>
      <c r="D6" s="216">
        <f>C16</f>
        <v>2321.2199999999998</v>
      </c>
    </row>
    <row r="7" spans="1:4">
      <c r="A7" s="326" t="s">
        <v>94</v>
      </c>
      <c r="B7" s="326"/>
      <c r="C7" s="326"/>
      <c r="D7" s="217">
        <f>SUM(D5:D6)</f>
        <v>29261.951470000004</v>
      </c>
    </row>
    <row r="8" spans="1:4">
      <c r="A8" s="212"/>
      <c r="B8" s="213"/>
      <c r="C8" s="213"/>
      <c r="D8" s="213"/>
    </row>
    <row r="9" spans="1:4">
      <c r="A9" s="326" t="s">
        <v>0</v>
      </c>
      <c r="B9" s="326" t="s">
        <v>103</v>
      </c>
      <c r="C9" s="326"/>
      <c r="D9" s="213"/>
    </row>
    <row r="10" spans="1:4">
      <c r="A10" s="326"/>
      <c r="B10" s="214" t="s">
        <v>104</v>
      </c>
      <c r="C10" s="214" t="s">
        <v>101</v>
      </c>
      <c r="D10" s="98"/>
    </row>
    <row r="11" spans="1:4">
      <c r="A11" s="215">
        <v>1</v>
      </c>
      <c r="B11" s="218" t="s">
        <v>14</v>
      </c>
      <c r="C11" s="216">
        <v>827</v>
      </c>
      <c r="D11" s="98"/>
    </row>
    <row r="12" spans="1:4">
      <c r="A12" s="215">
        <v>2</v>
      </c>
      <c r="B12" s="218" t="s">
        <v>200</v>
      </c>
      <c r="C12" s="216">
        <v>490</v>
      </c>
      <c r="D12" s="98"/>
    </row>
    <row r="13" spans="1:4">
      <c r="A13" s="215">
        <v>3</v>
      </c>
      <c r="B13" s="218" t="s">
        <v>18</v>
      </c>
      <c r="C13" s="216">
        <v>223</v>
      </c>
      <c r="D13" s="98"/>
    </row>
    <row r="14" spans="1:4">
      <c r="A14" s="215">
        <v>4</v>
      </c>
      <c r="B14" s="218" t="s">
        <v>8</v>
      </c>
      <c r="C14" s="216">
        <v>770</v>
      </c>
      <c r="D14" s="98"/>
    </row>
    <row r="15" spans="1:4">
      <c r="A15" s="215">
        <v>5</v>
      </c>
      <c r="B15" s="218" t="s">
        <v>201</v>
      </c>
      <c r="C15" s="216">
        <v>11.22</v>
      </c>
      <c r="D15" s="98"/>
    </row>
    <row r="16" spans="1:4">
      <c r="A16" s="326" t="s">
        <v>94</v>
      </c>
      <c r="B16" s="326"/>
      <c r="C16" s="219">
        <f>SUM(C11:C15)</f>
        <v>2321.2199999999998</v>
      </c>
      <c r="D16" s="220"/>
    </row>
    <row r="18" spans="1:4" s="221" customFormat="1" ht="31.5" customHeight="1">
      <c r="A18" s="332" t="s">
        <v>210</v>
      </c>
      <c r="B18" s="332"/>
      <c r="C18" s="332"/>
    </row>
    <row r="19" spans="1:4">
      <c r="A19" s="222" t="s">
        <v>0</v>
      </c>
      <c r="B19" s="214" t="s">
        <v>209</v>
      </c>
      <c r="C19" s="214" t="s">
        <v>101</v>
      </c>
    </row>
    <row r="20" spans="1:4">
      <c r="A20" s="215">
        <v>1</v>
      </c>
      <c r="B20" s="218" t="s">
        <v>77</v>
      </c>
      <c r="C20" s="216">
        <v>15.103199999999999</v>
      </c>
    </row>
    <row r="21" spans="1:4">
      <c r="A21" s="215">
        <v>2</v>
      </c>
      <c r="B21" s="218" t="s">
        <v>198</v>
      </c>
      <c r="C21" s="216">
        <v>14.94</v>
      </c>
    </row>
    <row r="22" spans="1:4">
      <c r="A22" s="215">
        <v>3</v>
      </c>
      <c r="B22" s="218" t="s">
        <v>206</v>
      </c>
      <c r="C22" s="216">
        <v>4</v>
      </c>
      <c r="D22" s="223">
        <v>21986.897300000004</v>
      </c>
    </row>
    <row r="23" spans="1:4">
      <c r="A23" s="215">
        <v>4</v>
      </c>
      <c r="B23" s="218" t="s">
        <v>76</v>
      </c>
      <c r="C23" s="216">
        <v>181.56</v>
      </c>
      <c r="D23" s="224" t="s">
        <v>207</v>
      </c>
    </row>
    <row r="24" spans="1:4" s="221" customFormat="1" ht="16.5" thickBot="1">
      <c r="A24" s="326" t="s">
        <v>94</v>
      </c>
      <c r="B24" s="326"/>
      <c r="C24" s="217">
        <f>SUM(C20:C23)</f>
        <v>215.60320000000002</v>
      </c>
      <c r="D24" s="225">
        <f>D22-C24</f>
        <v>21771.294100000003</v>
      </c>
    </row>
    <row r="25" spans="1:4" ht="16.5" thickTop="1">
      <c r="A25" s="226"/>
      <c r="B25" s="227"/>
      <c r="C25" s="228"/>
    </row>
    <row r="26" spans="1:4" ht="25.5" customHeight="1">
      <c r="A26" s="333" t="s">
        <v>211</v>
      </c>
      <c r="B26" s="333"/>
      <c r="C26" s="333"/>
    </row>
    <row r="27" spans="1:4">
      <c r="A27" s="222" t="s">
        <v>0</v>
      </c>
      <c r="B27" s="214" t="s">
        <v>104</v>
      </c>
      <c r="C27" s="214" t="s">
        <v>101</v>
      </c>
    </row>
    <row r="28" spans="1:4">
      <c r="A28" s="215">
        <v>1</v>
      </c>
      <c r="B28" s="218" t="s">
        <v>25</v>
      </c>
      <c r="C28" s="216">
        <v>361.99</v>
      </c>
      <c r="D28" s="223">
        <v>21771.294100000003</v>
      </c>
    </row>
    <row r="29" spans="1:4">
      <c r="A29" s="215">
        <v>2</v>
      </c>
      <c r="B29" s="218" t="s">
        <v>26</v>
      </c>
      <c r="C29" s="216">
        <v>253.1</v>
      </c>
      <c r="D29" s="229" t="s">
        <v>208</v>
      </c>
    </row>
    <row r="30" spans="1:4" ht="16.5" thickBot="1">
      <c r="A30" s="326" t="s">
        <v>94</v>
      </c>
      <c r="B30" s="326"/>
      <c r="C30" s="219">
        <f>SUM(C28:C29)</f>
        <v>615.09</v>
      </c>
      <c r="D30" s="230">
        <f>D28-C30</f>
        <v>21156.204100000003</v>
      </c>
    </row>
    <row r="31" spans="1:4" ht="16.5" thickTop="1"/>
  </sheetData>
  <mergeCells count="13">
    <mergeCell ref="A30:B30"/>
    <mergeCell ref="A24:B24"/>
    <mergeCell ref="A18:C18"/>
    <mergeCell ref="A26:C26"/>
    <mergeCell ref="A9:A10"/>
    <mergeCell ref="B9:C9"/>
    <mergeCell ref="A16:B16"/>
    <mergeCell ref="A7:C7"/>
    <mergeCell ref="A1:D1"/>
    <mergeCell ref="A3:D3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Normal="100" workbookViewId="0">
      <selection activeCell="D19" sqref="D19"/>
    </sheetView>
  </sheetViews>
  <sheetFormatPr defaultColWidth="9.140625" defaultRowHeight="15"/>
  <cols>
    <col min="1" max="1" width="5.42578125" style="71" customWidth="1"/>
    <col min="2" max="2" width="14.42578125" style="59" customWidth="1"/>
    <col min="3" max="3" width="15.7109375" style="64" customWidth="1"/>
    <col min="4" max="6" width="11.28515625" style="72" customWidth="1"/>
    <col min="7" max="12" width="11.28515625" style="59" customWidth="1"/>
    <col min="13" max="13" width="12" style="59" customWidth="1"/>
    <col min="14" max="16384" width="9.140625" style="59"/>
  </cols>
  <sheetData>
    <row r="1" spans="1:14" s="52" customFormat="1" ht="24" customHeight="1">
      <c r="A1" s="250" t="s">
        <v>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51"/>
    </row>
    <row r="2" spans="1:14" s="54" customFormat="1" ht="66" customHeight="1">
      <c r="A2" s="251" t="s">
        <v>225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53"/>
    </row>
    <row r="3" spans="1:14" s="6" customFormat="1" ht="18.75" customHeight="1">
      <c r="A3" s="252" t="s">
        <v>81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4" s="55" customFormat="1" ht="30" customHeight="1">
      <c r="A4" s="253" t="s">
        <v>0</v>
      </c>
      <c r="B4" s="253" t="s">
        <v>82</v>
      </c>
      <c r="C4" s="253" t="s">
        <v>83</v>
      </c>
      <c r="D4" s="253" t="s">
        <v>84</v>
      </c>
      <c r="E4" s="253"/>
      <c r="F4" s="253"/>
      <c r="G4" s="253" t="s">
        <v>85</v>
      </c>
      <c r="H4" s="253"/>
      <c r="I4" s="253"/>
      <c r="J4" s="253" t="s">
        <v>98</v>
      </c>
      <c r="K4" s="253"/>
      <c r="L4" s="253"/>
      <c r="M4" s="253" t="s">
        <v>86</v>
      </c>
    </row>
    <row r="5" spans="1:14" s="55" customFormat="1" ht="18" customHeight="1">
      <c r="A5" s="253"/>
      <c r="B5" s="253"/>
      <c r="C5" s="253"/>
      <c r="D5" s="253" t="s">
        <v>87</v>
      </c>
      <c r="E5" s="253"/>
      <c r="F5" s="253" t="s">
        <v>79</v>
      </c>
      <c r="G5" s="253" t="s">
        <v>87</v>
      </c>
      <c r="H5" s="253"/>
      <c r="I5" s="248" t="s">
        <v>79</v>
      </c>
      <c r="J5" s="253" t="s">
        <v>87</v>
      </c>
      <c r="K5" s="253"/>
      <c r="L5" s="248" t="s">
        <v>79</v>
      </c>
      <c r="M5" s="253"/>
    </row>
    <row r="6" spans="1:14" s="55" customFormat="1" ht="18" customHeight="1">
      <c r="A6" s="253"/>
      <c r="B6" s="253"/>
      <c r="C6" s="253"/>
      <c r="D6" s="56" t="s">
        <v>88</v>
      </c>
      <c r="E6" s="56" t="s">
        <v>89</v>
      </c>
      <c r="F6" s="253"/>
      <c r="G6" s="56" t="s">
        <v>88</v>
      </c>
      <c r="H6" s="56" t="s">
        <v>89</v>
      </c>
      <c r="I6" s="249"/>
      <c r="J6" s="56" t="s">
        <v>88</v>
      </c>
      <c r="K6" s="56" t="s">
        <v>89</v>
      </c>
      <c r="L6" s="249"/>
      <c r="M6" s="253"/>
    </row>
    <row r="7" spans="1:14" ht="45" customHeight="1">
      <c r="A7" s="254">
        <v>1</v>
      </c>
      <c r="B7" s="255" t="s">
        <v>90</v>
      </c>
      <c r="C7" s="57" t="s">
        <v>91</v>
      </c>
      <c r="D7" s="58">
        <v>23340</v>
      </c>
      <c r="E7" s="58">
        <v>23100</v>
      </c>
      <c r="F7" s="58">
        <v>23100</v>
      </c>
      <c r="G7" s="58">
        <v>23100</v>
      </c>
      <c r="H7" s="58">
        <v>19562</v>
      </c>
      <c r="I7" s="58">
        <v>20056.0016</v>
      </c>
      <c r="J7" s="58">
        <v>39700</v>
      </c>
      <c r="K7" s="58"/>
      <c r="L7" s="58">
        <f>ADC!P38</f>
        <v>18522.547400000003</v>
      </c>
      <c r="M7" s="256" t="s">
        <v>158</v>
      </c>
    </row>
    <row r="8" spans="1:14" ht="45" customHeight="1">
      <c r="A8" s="254"/>
      <c r="B8" s="255"/>
      <c r="C8" s="57" t="s">
        <v>92</v>
      </c>
      <c r="D8" s="58">
        <v>4260</v>
      </c>
      <c r="E8" s="58">
        <v>3333</v>
      </c>
      <c r="F8" s="58">
        <v>3055.83</v>
      </c>
      <c r="G8" s="58">
        <v>3600</v>
      </c>
      <c r="H8" s="58">
        <v>2091</v>
      </c>
      <c r="I8" s="58">
        <v>2091.0001000000002</v>
      </c>
      <c r="J8" s="260" t="s">
        <v>159</v>
      </c>
      <c r="K8" s="261"/>
      <c r="L8" s="262"/>
      <c r="M8" s="257"/>
    </row>
    <row r="9" spans="1:14" ht="45" customHeight="1">
      <c r="A9" s="254"/>
      <c r="B9" s="255"/>
      <c r="C9" s="57" t="s">
        <v>93</v>
      </c>
      <c r="D9" s="58">
        <v>15000</v>
      </c>
      <c r="E9" s="58">
        <v>6467</v>
      </c>
      <c r="F9" s="58">
        <v>5467.8</v>
      </c>
      <c r="G9" s="58">
        <v>8300</v>
      </c>
      <c r="H9" s="58">
        <v>5250</v>
      </c>
      <c r="I9" s="58">
        <v>8170.9062799999992</v>
      </c>
      <c r="J9" s="58">
        <v>10000</v>
      </c>
      <c r="K9" s="58"/>
      <c r="L9" s="58">
        <f>ADC!P72</f>
        <v>8358.1840699999993</v>
      </c>
      <c r="M9" s="258" t="s">
        <v>140</v>
      </c>
    </row>
    <row r="10" spans="1:14" s="64" customFormat="1">
      <c r="A10" s="60"/>
      <c r="B10" s="61" t="s">
        <v>94</v>
      </c>
      <c r="C10" s="62" t="s">
        <v>94</v>
      </c>
      <c r="D10" s="63">
        <f>SUM(D7:D9)</f>
        <v>42600</v>
      </c>
      <c r="E10" s="63">
        <f t="shared" ref="E10:I10" si="0">SUM(E7:E9)</f>
        <v>32900</v>
      </c>
      <c r="F10" s="63">
        <f t="shared" si="0"/>
        <v>31623.63</v>
      </c>
      <c r="G10" s="63">
        <f t="shared" si="0"/>
        <v>35000</v>
      </c>
      <c r="H10" s="63">
        <f t="shared" si="0"/>
        <v>26903</v>
      </c>
      <c r="I10" s="63">
        <f t="shared" si="0"/>
        <v>30317.90798</v>
      </c>
      <c r="J10" s="63">
        <f>SUM(J7:J9)</f>
        <v>49700</v>
      </c>
      <c r="K10" s="63">
        <f>SUM(K7:K9)</f>
        <v>0</v>
      </c>
      <c r="L10" s="63">
        <f>SUM(L7:L9)</f>
        <v>26880.731470000002</v>
      </c>
      <c r="M10" s="259"/>
    </row>
    <row r="11" spans="1:14" ht="45">
      <c r="A11" s="65">
        <v>2</v>
      </c>
      <c r="B11" s="66" t="s">
        <v>95</v>
      </c>
      <c r="C11" s="57" t="s">
        <v>96</v>
      </c>
      <c r="D11" s="58">
        <v>700</v>
      </c>
      <c r="E11" s="58">
        <v>400</v>
      </c>
      <c r="F11" s="58">
        <v>274.17</v>
      </c>
      <c r="G11" s="58">
        <v>300</v>
      </c>
      <c r="H11" s="58">
        <v>300</v>
      </c>
      <c r="I11" s="67">
        <v>262.99</v>
      </c>
      <c r="J11" s="58">
        <v>300</v>
      </c>
      <c r="K11" s="58"/>
      <c r="L11" s="67">
        <f>ADC!P75</f>
        <v>60</v>
      </c>
      <c r="M11" s="68">
        <f>L12/J12</f>
        <v>0.53881462940000002</v>
      </c>
    </row>
    <row r="12" spans="1:14" s="64" customFormat="1" ht="16.5" thickBot="1">
      <c r="A12" s="60"/>
      <c r="B12" s="61" t="s">
        <v>97</v>
      </c>
      <c r="C12" s="62" t="s">
        <v>94</v>
      </c>
      <c r="D12" s="69">
        <f>D10+D11</f>
        <v>43300</v>
      </c>
      <c r="E12" s="69">
        <f t="shared" ref="E12:L12" si="1">E10+E11</f>
        <v>33300</v>
      </c>
      <c r="F12" s="69">
        <f t="shared" si="1"/>
        <v>31897.8</v>
      </c>
      <c r="G12" s="69">
        <f t="shared" si="1"/>
        <v>35300</v>
      </c>
      <c r="H12" s="69">
        <f t="shared" si="1"/>
        <v>27203</v>
      </c>
      <c r="I12" s="69">
        <f t="shared" si="1"/>
        <v>30580.897980000002</v>
      </c>
      <c r="J12" s="69">
        <f t="shared" si="1"/>
        <v>50000</v>
      </c>
      <c r="K12" s="69">
        <f t="shared" si="1"/>
        <v>0</v>
      </c>
      <c r="L12" s="69">
        <f t="shared" si="1"/>
        <v>26940.731470000002</v>
      </c>
      <c r="M12" s="70"/>
    </row>
    <row r="13" spans="1:14" ht="15.75" thickTop="1"/>
  </sheetData>
  <mergeCells count="21">
    <mergeCell ref="A7:A9"/>
    <mergeCell ref="B7:B9"/>
    <mergeCell ref="M7:M8"/>
    <mergeCell ref="M9:M10"/>
    <mergeCell ref="J8:L8"/>
    <mergeCell ref="L5:L6"/>
    <mergeCell ref="A1:M1"/>
    <mergeCell ref="A2:M2"/>
    <mergeCell ref="A3:M3"/>
    <mergeCell ref="A4:A6"/>
    <mergeCell ref="B4:B6"/>
    <mergeCell ref="C4:C6"/>
    <mergeCell ref="D4:F4"/>
    <mergeCell ref="G4:I4"/>
    <mergeCell ref="J4:L4"/>
    <mergeCell ref="M4:M6"/>
    <mergeCell ref="D5:E5"/>
    <mergeCell ref="F5:F6"/>
    <mergeCell ref="G5:H5"/>
    <mergeCell ref="I5:I6"/>
    <mergeCell ref="J5:K5"/>
  </mergeCells>
  <pageMargins left="0.25" right="0.25" top="0.5" bottom="0.25" header="0.25" footer="0.25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80" zoomScaleNormal="8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.75"/>
  <cols>
    <col min="1" max="1" width="5" style="9" customWidth="1"/>
    <col min="2" max="2" width="48.28515625" style="6" customWidth="1"/>
    <col min="3" max="14" width="12.7109375" style="6" customWidth="1"/>
    <col min="15" max="16" width="14.5703125" style="6" customWidth="1"/>
    <col min="17" max="16384" width="9.140625" style="6"/>
  </cols>
  <sheetData>
    <row r="1" spans="1:16" s="52" customFormat="1" ht="24" customHeight="1">
      <c r="A1" s="250" t="s">
        <v>163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ht="47.25" customHeight="1">
      <c r="A2" s="266" t="s">
        <v>226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ht="20.100000000000001" customHeight="1">
      <c r="A3" s="12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8.75">
      <c r="A4" s="268" t="s">
        <v>157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s="7" customFormat="1" ht="18.75">
      <c r="A5" s="269" t="s">
        <v>0</v>
      </c>
      <c r="B5" s="271" t="s">
        <v>150</v>
      </c>
      <c r="C5" s="273" t="s">
        <v>51</v>
      </c>
      <c r="D5" s="274"/>
      <c r="E5" s="274"/>
      <c r="F5" s="275"/>
      <c r="G5" s="273" t="s">
        <v>52</v>
      </c>
      <c r="H5" s="274"/>
      <c r="I5" s="274"/>
      <c r="J5" s="275"/>
      <c r="K5" s="273" t="s">
        <v>53</v>
      </c>
      <c r="L5" s="274"/>
      <c r="M5" s="274"/>
      <c r="N5" s="275"/>
      <c r="O5" s="271" t="s">
        <v>38</v>
      </c>
      <c r="P5" s="272"/>
    </row>
    <row r="6" spans="1:16" s="7" customFormat="1" ht="34.5" customHeight="1">
      <c r="A6" s="270"/>
      <c r="B6" s="271"/>
      <c r="C6" s="276" t="s">
        <v>139</v>
      </c>
      <c r="D6" s="277"/>
      <c r="E6" s="276" t="s">
        <v>79</v>
      </c>
      <c r="F6" s="277"/>
      <c r="G6" s="276" t="s">
        <v>139</v>
      </c>
      <c r="H6" s="277"/>
      <c r="I6" s="276" t="s">
        <v>79</v>
      </c>
      <c r="J6" s="277"/>
      <c r="K6" s="276" t="s">
        <v>139</v>
      </c>
      <c r="L6" s="277"/>
      <c r="M6" s="276" t="s">
        <v>79</v>
      </c>
      <c r="N6" s="277"/>
      <c r="O6" s="105" t="s">
        <v>139</v>
      </c>
      <c r="P6" s="105" t="s">
        <v>79</v>
      </c>
    </row>
    <row r="7" spans="1:16" s="7" customFormat="1" ht="27" customHeight="1">
      <c r="A7" s="106"/>
      <c r="B7" s="134" t="s">
        <v>60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63" t="s">
        <v>64</v>
      </c>
      <c r="P7" s="263"/>
    </row>
    <row r="8" spans="1:16" ht="27" customHeight="1">
      <c r="A8" s="107">
        <v>1</v>
      </c>
      <c r="B8" s="108" t="s">
        <v>1</v>
      </c>
      <c r="C8" s="265">
        <v>1751</v>
      </c>
      <c r="D8" s="265"/>
      <c r="E8" s="265">
        <f xml:space="preserve"> 650.0247 + 382.505</f>
        <v>1032.5297</v>
      </c>
      <c r="F8" s="265"/>
      <c r="G8" s="265">
        <v>3492.19</v>
      </c>
      <c r="H8" s="265"/>
      <c r="I8" s="265">
        <f xml:space="preserve"> 660.7733 + 1389.21</f>
        <v>2049.9832999999999</v>
      </c>
      <c r="J8" s="265"/>
      <c r="K8" s="265"/>
      <c r="L8" s="265"/>
      <c r="M8" s="265"/>
      <c r="N8" s="265"/>
      <c r="O8" s="109">
        <f>C8+G8+K8</f>
        <v>5243.1900000000005</v>
      </c>
      <c r="P8" s="109">
        <f>E8+I8+M8</f>
        <v>3082.5129999999999</v>
      </c>
    </row>
    <row r="9" spans="1:16" ht="27" customHeight="1">
      <c r="A9" s="107">
        <v>2</v>
      </c>
      <c r="B9" s="108" t="s">
        <v>2</v>
      </c>
      <c r="C9" s="265">
        <v>150.52000000000001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109">
        <f t="shared" ref="O9:O26" si="0">C9+G9+K9</f>
        <v>150.52000000000001</v>
      </c>
      <c r="P9" s="109">
        <f t="shared" ref="P9:P26" si="1">E9+I9+M9</f>
        <v>0</v>
      </c>
    </row>
    <row r="10" spans="1:16" ht="27" customHeight="1">
      <c r="A10" s="107">
        <v>3</v>
      </c>
      <c r="B10" s="108" t="s">
        <v>3</v>
      </c>
      <c r="C10" s="265">
        <v>421</v>
      </c>
      <c r="D10" s="265"/>
      <c r="E10" s="265">
        <v>168</v>
      </c>
      <c r="F10" s="265"/>
      <c r="G10" s="265">
        <v>577.83600000000001</v>
      </c>
      <c r="H10" s="265"/>
      <c r="I10" s="265">
        <v>232</v>
      </c>
      <c r="J10" s="265"/>
      <c r="K10" s="265">
        <v>48.78</v>
      </c>
      <c r="L10" s="265"/>
      <c r="M10" s="265"/>
      <c r="N10" s="265"/>
      <c r="O10" s="109">
        <f t="shared" si="0"/>
        <v>1047.616</v>
      </c>
      <c r="P10" s="109">
        <f t="shared" si="1"/>
        <v>400</v>
      </c>
    </row>
    <row r="11" spans="1:16" ht="27" customHeight="1">
      <c r="A11" s="107">
        <v>4</v>
      </c>
      <c r="B11" s="108" t="s">
        <v>4</v>
      </c>
      <c r="C11" s="265">
        <v>3916.14</v>
      </c>
      <c r="D11" s="265"/>
      <c r="E11" s="265">
        <v>2282.1165999999998</v>
      </c>
      <c r="F11" s="265"/>
      <c r="G11" s="265">
        <v>88.21</v>
      </c>
      <c r="H11" s="265"/>
      <c r="I11" s="265">
        <v>51.813200000000002</v>
      </c>
      <c r="J11" s="265"/>
      <c r="K11" s="265"/>
      <c r="L11" s="265"/>
      <c r="M11" s="265"/>
      <c r="N11" s="265"/>
      <c r="O11" s="109">
        <f t="shared" si="0"/>
        <v>4004.35</v>
      </c>
      <c r="P11" s="109">
        <f t="shared" si="1"/>
        <v>2333.9297999999999</v>
      </c>
    </row>
    <row r="12" spans="1:16" ht="27" customHeight="1">
      <c r="A12" s="107">
        <v>5</v>
      </c>
      <c r="B12" s="108" t="s">
        <v>5</v>
      </c>
      <c r="C12" s="265">
        <v>787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109">
        <f t="shared" si="0"/>
        <v>787</v>
      </c>
      <c r="P12" s="109">
        <f t="shared" si="1"/>
        <v>0</v>
      </c>
    </row>
    <row r="13" spans="1:16" ht="27" customHeight="1">
      <c r="A13" s="107">
        <v>6</v>
      </c>
      <c r="B13" s="108" t="s">
        <v>6</v>
      </c>
      <c r="C13" s="265">
        <v>89.69</v>
      </c>
      <c r="D13" s="265"/>
      <c r="E13" s="265"/>
      <c r="F13" s="265"/>
      <c r="G13" s="265"/>
      <c r="H13" s="265"/>
      <c r="I13" s="265"/>
      <c r="J13" s="265"/>
      <c r="K13" s="265">
        <v>10.99</v>
      </c>
      <c r="L13" s="265"/>
      <c r="M13" s="265"/>
      <c r="N13" s="265"/>
      <c r="O13" s="109">
        <f t="shared" si="0"/>
        <v>100.67999999999999</v>
      </c>
      <c r="P13" s="109">
        <f t="shared" si="1"/>
        <v>0</v>
      </c>
    </row>
    <row r="14" spans="1:16" ht="27" customHeight="1">
      <c r="A14" s="107">
        <v>7</v>
      </c>
      <c r="B14" s="108" t="s">
        <v>7</v>
      </c>
      <c r="C14" s="265">
        <v>381</v>
      </c>
      <c r="D14" s="265"/>
      <c r="E14" s="265">
        <v>127</v>
      </c>
      <c r="F14" s="265"/>
      <c r="G14" s="265"/>
      <c r="H14" s="265"/>
      <c r="I14" s="265"/>
      <c r="J14" s="265"/>
      <c r="K14" s="265"/>
      <c r="L14" s="265"/>
      <c r="M14" s="265"/>
      <c r="N14" s="265"/>
      <c r="O14" s="109">
        <f t="shared" si="0"/>
        <v>381</v>
      </c>
      <c r="P14" s="109">
        <f t="shared" si="1"/>
        <v>127</v>
      </c>
    </row>
    <row r="15" spans="1:16" ht="27" customHeight="1">
      <c r="A15" s="107">
        <v>8</v>
      </c>
      <c r="B15" s="108" t="s">
        <v>8</v>
      </c>
      <c r="C15" s="265">
        <v>1897.89</v>
      </c>
      <c r="D15" s="265"/>
      <c r="E15" s="265">
        <f xml:space="preserve"> 959.4808 + 474.2</f>
        <v>1433.6808000000001</v>
      </c>
      <c r="F15" s="265"/>
      <c r="G15" s="265">
        <v>213.4</v>
      </c>
      <c r="H15" s="265"/>
      <c r="I15" s="265">
        <f xml:space="preserve"> 96.5192 + 53.27</f>
        <v>149.78919999999999</v>
      </c>
      <c r="J15" s="265"/>
      <c r="K15" s="265"/>
      <c r="L15" s="265"/>
      <c r="M15" s="265"/>
      <c r="N15" s="265"/>
      <c r="O15" s="109">
        <f t="shared" si="0"/>
        <v>2111.29</v>
      </c>
      <c r="P15" s="109">
        <f t="shared" si="1"/>
        <v>1583.47</v>
      </c>
    </row>
    <row r="16" spans="1:16" ht="27" customHeight="1">
      <c r="A16" s="107">
        <v>9</v>
      </c>
      <c r="B16" s="108" t="s">
        <v>9</v>
      </c>
      <c r="C16" s="265"/>
      <c r="D16" s="265"/>
      <c r="E16" s="265"/>
      <c r="F16" s="265"/>
      <c r="G16" s="265">
        <v>13.86</v>
      </c>
      <c r="H16" s="265"/>
      <c r="I16" s="265"/>
      <c r="J16" s="265"/>
      <c r="K16" s="265"/>
      <c r="L16" s="265"/>
      <c r="M16" s="265"/>
      <c r="N16" s="265"/>
      <c r="O16" s="109">
        <f t="shared" si="0"/>
        <v>13.86</v>
      </c>
      <c r="P16" s="109">
        <f t="shared" si="1"/>
        <v>0</v>
      </c>
    </row>
    <row r="17" spans="1:16" ht="27" customHeight="1">
      <c r="A17" s="107">
        <v>10</v>
      </c>
      <c r="B17" s="108" t="s">
        <v>10</v>
      </c>
      <c r="C17" s="265">
        <v>9645.2999999999993</v>
      </c>
      <c r="D17" s="265"/>
      <c r="E17" s="265">
        <v>2574.25</v>
      </c>
      <c r="F17" s="265"/>
      <c r="G17" s="265"/>
      <c r="H17" s="265"/>
      <c r="I17" s="265"/>
      <c r="J17" s="265"/>
      <c r="K17" s="265">
        <v>12.88</v>
      </c>
      <c r="L17" s="265"/>
      <c r="M17" s="265">
        <v>3.44</v>
      </c>
      <c r="N17" s="265"/>
      <c r="O17" s="109">
        <f t="shared" si="0"/>
        <v>9658.1799999999985</v>
      </c>
      <c r="P17" s="109">
        <f t="shared" si="1"/>
        <v>2577.69</v>
      </c>
    </row>
    <row r="18" spans="1:16" ht="27" customHeight="1">
      <c r="A18" s="107">
        <v>11</v>
      </c>
      <c r="B18" s="108" t="s">
        <v>11</v>
      </c>
      <c r="C18" s="280">
        <v>5853</v>
      </c>
      <c r="D18" s="281"/>
      <c r="E18" s="265">
        <v>2926.5</v>
      </c>
      <c r="F18" s="265"/>
      <c r="G18" s="265"/>
      <c r="H18" s="265"/>
      <c r="I18" s="265"/>
      <c r="J18" s="265"/>
      <c r="K18" s="265">
        <v>81.010000000000005</v>
      </c>
      <c r="L18" s="265"/>
      <c r="M18" s="265">
        <v>40.505000000000003</v>
      </c>
      <c r="N18" s="265"/>
      <c r="O18" s="109">
        <f t="shared" si="0"/>
        <v>5934.01</v>
      </c>
      <c r="P18" s="109">
        <f t="shared" si="1"/>
        <v>2967.0050000000001</v>
      </c>
    </row>
    <row r="19" spans="1:16" ht="27" customHeight="1">
      <c r="A19" s="107">
        <v>12</v>
      </c>
      <c r="B19" s="108" t="s">
        <v>12</v>
      </c>
      <c r="C19" s="265">
        <v>695.83</v>
      </c>
      <c r="D19" s="265"/>
      <c r="E19" s="265">
        <v>388.88299999999998</v>
      </c>
      <c r="F19" s="265"/>
      <c r="G19" s="265">
        <v>279.18099999999998</v>
      </c>
      <c r="H19" s="265"/>
      <c r="I19" s="265">
        <v>63.083599999999997</v>
      </c>
      <c r="J19" s="265"/>
      <c r="K19" s="265"/>
      <c r="L19" s="265"/>
      <c r="M19" s="265"/>
      <c r="N19" s="265"/>
      <c r="O19" s="109">
        <f t="shared" si="0"/>
        <v>975.01099999999997</v>
      </c>
      <c r="P19" s="109">
        <f t="shared" si="1"/>
        <v>451.96659999999997</v>
      </c>
    </row>
    <row r="20" spans="1:16" ht="27" customHeight="1">
      <c r="A20" s="107">
        <v>13</v>
      </c>
      <c r="B20" s="108" t="s">
        <v>13</v>
      </c>
      <c r="C20" s="265">
        <v>62.93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109">
        <f t="shared" si="0"/>
        <v>62.93</v>
      </c>
      <c r="P20" s="109">
        <f t="shared" si="1"/>
        <v>0</v>
      </c>
    </row>
    <row r="21" spans="1:16" ht="27" customHeight="1">
      <c r="A21" s="107">
        <v>14</v>
      </c>
      <c r="B21" s="108" t="s">
        <v>14</v>
      </c>
      <c r="C21" s="265">
        <v>5895.89</v>
      </c>
      <c r="D21" s="265"/>
      <c r="E21" s="265">
        <v>1460</v>
      </c>
      <c r="F21" s="265"/>
      <c r="G21" s="265"/>
      <c r="H21" s="265"/>
      <c r="I21" s="265"/>
      <c r="J21" s="265"/>
      <c r="K21" s="265">
        <v>124.07</v>
      </c>
      <c r="L21" s="265"/>
      <c r="M21" s="265">
        <v>40</v>
      </c>
      <c r="N21" s="265"/>
      <c r="O21" s="109">
        <f t="shared" si="0"/>
        <v>6019.96</v>
      </c>
      <c r="P21" s="109">
        <f t="shared" si="1"/>
        <v>1500</v>
      </c>
    </row>
    <row r="22" spans="1:16" ht="27" customHeight="1">
      <c r="A22" s="107">
        <v>15</v>
      </c>
      <c r="B22" s="108" t="s">
        <v>15</v>
      </c>
      <c r="C22" s="265">
        <v>547.20000000000005</v>
      </c>
      <c r="D22" s="265"/>
      <c r="E22" s="265">
        <v>273.60000000000002</v>
      </c>
      <c r="F22" s="265"/>
      <c r="G22" s="265">
        <v>241.25299999999999</v>
      </c>
      <c r="H22" s="265"/>
      <c r="I22" s="265">
        <v>120.62649999999999</v>
      </c>
      <c r="J22" s="265"/>
      <c r="K22" s="265">
        <v>112.39400000000001</v>
      </c>
      <c r="L22" s="265"/>
      <c r="M22" s="265">
        <v>56.197000000000003</v>
      </c>
      <c r="N22" s="265"/>
      <c r="O22" s="109">
        <f t="shared" si="0"/>
        <v>900.84699999999998</v>
      </c>
      <c r="P22" s="109">
        <f t="shared" si="1"/>
        <v>450.42349999999999</v>
      </c>
    </row>
    <row r="23" spans="1:16" ht="27" customHeight="1">
      <c r="A23" s="107">
        <v>16</v>
      </c>
      <c r="B23" s="108" t="s">
        <v>16</v>
      </c>
      <c r="C23" s="265">
        <v>577</v>
      </c>
      <c r="D23" s="265"/>
      <c r="E23" s="265"/>
      <c r="F23" s="265"/>
      <c r="G23" s="265">
        <v>519.80999999999995</v>
      </c>
      <c r="H23" s="265"/>
      <c r="I23" s="265"/>
      <c r="J23" s="265"/>
      <c r="K23" s="265"/>
      <c r="L23" s="265"/>
      <c r="M23" s="265"/>
      <c r="N23" s="265"/>
      <c r="O23" s="109">
        <f t="shared" si="0"/>
        <v>1096.81</v>
      </c>
      <c r="P23" s="109">
        <f t="shared" si="1"/>
        <v>0</v>
      </c>
    </row>
    <row r="24" spans="1:16" ht="27" customHeight="1">
      <c r="A24" s="107">
        <v>17</v>
      </c>
      <c r="B24" s="108" t="s">
        <v>17</v>
      </c>
      <c r="C24" s="265">
        <v>1621.97</v>
      </c>
      <c r="D24" s="265"/>
      <c r="E24" s="265">
        <v>405.49</v>
      </c>
      <c r="F24" s="265"/>
      <c r="G24" s="265"/>
      <c r="H24" s="265"/>
      <c r="I24" s="265"/>
      <c r="J24" s="265"/>
      <c r="K24" s="265">
        <v>38.520000000000003</v>
      </c>
      <c r="L24" s="265"/>
      <c r="M24" s="265">
        <v>9.6300000000000008</v>
      </c>
      <c r="N24" s="265"/>
      <c r="O24" s="109">
        <f t="shared" si="0"/>
        <v>1660.49</v>
      </c>
      <c r="P24" s="109">
        <f t="shared" si="1"/>
        <v>415.12</v>
      </c>
    </row>
    <row r="25" spans="1:16" ht="27" customHeight="1">
      <c r="A25" s="107">
        <v>18</v>
      </c>
      <c r="B25" s="108" t="s">
        <v>19</v>
      </c>
      <c r="C25" s="265">
        <v>70.25</v>
      </c>
      <c r="D25" s="265"/>
      <c r="E25" s="265">
        <v>51.37</v>
      </c>
      <c r="F25" s="265"/>
      <c r="G25" s="265"/>
      <c r="H25" s="265"/>
      <c r="I25" s="265"/>
      <c r="J25" s="265"/>
      <c r="K25" s="265"/>
      <c r="L25" s="265"/>
      <c r="M25" s="265"/>
      <c r="N25" s="265"/>
      <c r="O25" s="109">
        <f t="shared" si="0"/>
        <v>70.25</v>
      </c>
      <c r="P25" s="109">
        <f t="shared" si="1"/>
        <v>51.37</v>
      </c>
    </row>
    <row r="26" spans="1:16" ht="27" customHeight="1">
      <c r="A26" s="107">
        <v>19</v>
      </c>
      <c r="B26" s="108" t="s">
        <v>18</v>
      </c>
      <c r="C26" s="265">
        <v>1337.22</v>
      </c>
      <c r="D26" s="265"/>
      <c r="E26" s="265">
        <f xml:space="preserve"> 400 + 100</f>
        <v>500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109">
        <f t="shared" si="0"/>
        <v>1337.22</v>
      </c>
      <c r="P26" s="109">
        <f t="shared" si="1"/>
        <v>500</v>
      </c>
    </row>
    <row r="27" spans="1:16" s="23" customFormat="1" ht="27" customHeight="1">
      <c r="A27" s="131" t="s">
        <v>20</v>
      </c>
      <c r="B27" s="132" t="s">
        <v>57</v>
      </c>
      <c r="C27" s="279">
        <f>SUM(C8:C26)</f>
        <v>35700.83</v>
      </c>
      <c r="D27" s="279"/>
      <c r="E27" s="279">
        <f>SUM(E8:E26)</f>
        <v>13623.420100000001</v>
      </c>
      <c r="F27" s="279"/>
      <c r="G27" s="279">
        <f t="shared" ref="G27" si="2">SUM(G8:G26)</f>
        <v>5425.739999999998</v>
      </c>
      <c r="H27" s="279"/>
      <c r="I27" s="279">
        <f>SUM(I8:I26)</f>
        <v>2667.2957999999999</v>
      </c>
      <c r="J27" s="279"/>
      <c r="K27" s="279">
        <f>SUM(K8:K26)</f>
        <v>428.64400000000001</v>
      </c>
      <c r="L27" s="279"/>
      <c r="M27" s="283">
        <f t="shared" ref="M27" si="3">SUM(M8:M26)</f>
        <v>149.77199999999999</v>
      </c>
      <c r="N27" s="284"/>
      <c r="O27" s="133">
        <f t="shared" ref="O27" si="4">SUM(O8:O26)</f>
        <v>41555.214</v>
      </c>
      <c r="P27" s="133">
        <f>SUM(P8:P26)</f>
        <v>16440.487900000004</v>
      </c>
    </row>
    <row r="28" spans="1:16" s="7" customFormat="1" ht="27" customHeight="1">
      <c r="A28" s="106"/>
      <c r="B28" s="134" t="s">
        <v>59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63" t="s">
        <v>65</v>
      </c>
      <c r="P28" s="263"/>
    </row>
    <row r="29" spans="1:16" ht="27" customHeight="1">
      <c r="A29" s="107">
        <v>20</v>
      </c>
      <c r="B29" s="108" t="s">
        <v>21</v>
      </c>
      <c r="C29" s="265">
        <v>134.78</v>
      </c>
      <c r="D29" s="265"/>
      <c r="E29" s="265">
        <v>67.39</v>
      </c>
      <c r="F29" s="265"/>
      <c r="G29" s="265">
        <v>460.363</v>
      </c>
      <c r="H29" s="265"/>
      <c r="I29" s="265">
        <v>230.1815</v>
      </c>
      <c r="J29" s="265"/>
      <c r="K29" s="265">
        <v>9.83</v>
      </c>
      <c r="L29" s="265"/>
      <c r="M29" s="265">
        <v>4.915</v>
      </c>
      <c r="N29" s="265"/>
      <c r="O29" s="109">
        <f>C29+G29+K29</f>
        <v>604.97300000000007</v>
      </c>
      <c r="P29" s="109">
        <f>E29+I29+M29</f>
        <v>302.48650000000004</v>
      </c>
    </row>
    <row r="30" spans="1:16" ht="27" customHeight="1">
      <c r="A30" s="107">
        <v>21</v>
      </c>
      <c r="B30" s="108" t="s">
        <v>22</v>
      </c>
      <c r="C30" s="265">
        <v>1422.06</v>
      </c>
      <c r="D30" s="265"/>
      <c r="E30" s="265"/>
      <c r="F30" s="265"/>
      <c r="G30" s="265">
        <v>453.04199999999997</v>
      </c>
      <c r="H30" s="265"/>
      <c r="I30" s="265"/>
      <c r="J30" s="265"/>
      <c r="K30" s="265"/>
      <c r="L30" s="265"/>
      <c r="M30" s="265"/>
      <c r="N30" s="265"/>
      <c r="O30" s="109">
        <f t="shared" ref="O30:O36" si="5">C30+G30+K30</f>
        <v>1875.1019999999999</v>
      </c>
      <c r="P30" s="109">
        <f t="shared" ref="P30:P36" si="6">E30+I30+M30</f>
        <v>0</v>
      </c>
    </row>
    <row r="31" spans="1:16" ht="27" customHeight="1">
      <c r="A31" s="107">
        <v>22</v>
      </c>
      <c r="B31" s="108" t="s">
        <v>23</v>
      </c>
      <c r="C31" s="265">
        <v>152.41999999999999</v>
      </c>
      <c r="D31" s="265"/>
      <c r="E31" s="265">
        <v>91.45</v>
      </c>
      <c r="F31" s="265"/>
      <c r="G31" s="265"/>
      <c r="H31" s="265"/>
      <c r="I31" s="265"/>
      <c r="J31" s="265"/>
      <c r="K31" s="265"/>
      <c r="L31" s="265"/>
      <c r="M31" s="265"/>
      <c r="N31" s="265"/>
      <c r="O31" s="109">
        <f t="shared" si="5"/>
        <v>152.41999999999999</v>
      </c>
      <c r="P31" s="109">
        <f t="shared" si="6"/>
        <v>91.45</v>
      </c>
    </row>
    <row r="32" spans="1:16" ht="27" customHeight="1">
      <c r="A32" s="107">
        <v>23</v>
      </c>
      <c r="B32" s="108" t="s">
        <v>24</v>
      </c>
      <c r="C32" s="265">
        <v>49.14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109">
        <f t="shared" si="5"/>
        <v>49.14</v>
      </c>
      <c r="P32" s="109">
        <f t="shared" si="6"/>
        <v>0</v>
      </c>
    </row>
    <row r="33" spans="1:16" ht="27" customHeight="1">
      <c r="A33" s="107">
        <v>24</v>
      </c>
      <c r="B33" s="108" t="s">
        <v>25</v>
      </c>
      <c r="C33" s="265"/>
      <c r="D33" s="265"/>
      <c r="E33" s="265"/>
      <c r="F33" s="265"/>
      <c r="G33" s="265">
        <v>1363.356</v>
      </c>
      <c r="H33" s="265"/>
      <c r="I33" s="265">
        <f xml:space="preserve"> 682 + 361.99</f>
        <v>1043.99</v>
      </c>
      <c r="J33" s="265"/>
      <c r="K33" s="265">
        <v>84.61</v>
      </c>
      <c r="L33" s="265"/>
      <c r="M33" s="265">
        <v>41.982999999999997</v>
      </c>
      <c r="N33" s="265"/>
      <c r="O33" s="109">
        <f t="shared" si="5"/>
        <v>1447.9659999999999</v>
      </c>
      <c r="P33" s="109">
        <f t="shared" si="6"/>
        <v>1085.973</v>
      </c>
    </row>
    <row r="34" spans="1:16" ht="27" customHeight="1">
      <c r="A34" s="107">
        <v>26</v>
      </c>
      <c r="B34" s="108" t="s">
        <v>26</v>
      </c>
      <c r="C34" s="265">
        <v>277</v>
      </c>
      <c r="D34" s="265"/>
      <c r="E34" s="265">
        <f xml:space="preserve"> 138.5 + 116.23</f>
        <v>254.73000000000002</v>
      </c>
      <c r="F34" s="265"/>
      <c r="G34" s="265">
        <v>296.60000000000002</v>
      </c>
      <c r="H34" s="265"/>
      <c r="I34" s="265">
        <f xml:space="preserve"> 148.3 + 136.87</f>
        <v>285.17</v>
      </c>
      <c r="J34" s="265"/>
      <c r="K34" s="265"/>
      <c r="L34" s="265"/>
      <c r="M34" s="265"/>
      <c r="N34" s="265"/>
      <c r="O34" s="109">
        <f t="shared" si="5"/>
        <v>573.6</v>
      </c>
      <c r="P34" s="109">
        <f t="shared" si="6"/>
        <v>539.90000000000009</v>
      </c>
    </row>
    <row r="35" spans="1:16" ht="27" customHeight="1">
      <c r="A35" s="107">
        <v>27</v>
      </c>
      <c r="B35" s="108" t="s">
        <v>27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109">
        <f t="shared" si="5"/>
        <v>0</v>
      </c>
      <c r="P35" s="109">
        <f t="shared" si="6"/>
        <v>0</v>
      </c>
    </row>
    <row r="36" spans="1:16" ht="27" customHeight="1">
      <c r="A36" s="107">
        <v>28</v>
      </c>
      <c r="B36" s="108" t="s">
        <v>28</v>
      </c>
      <c r="C36" s="265">
        <v>81.86</v>
      </c>
      <c r="D36" s="265"/>
      <c r="E36" s="265">
        <v>56.27</v>
      </c>
      <c r="F36" s="265"/>
      <c r="G36" s="265"/>
      <c r="H36" s="265"/>
      <c r="I36" s="265"/>
      <c r="J36" s="265"/>
      <c r="K36" s="265">
        <v>22</v>
      </c>
      <c r="L36" s="265"/>
      <c r="M36" s="265">
        <v>5.98</v>
      </c>
      <c r="N36" s="265"/>
      <c r="O36" s="109">
        <f t="shared" si="5"/>
        <v>103.86</v>
      </c>
      <c r="P36" s="109">
        <f t="shared" si="6"/>
        <v>62.25</v>
      </c>
    </row>
    <row r="37" spans="1:16" s="23" customFormat="1" ht="27" customHeight="1">
      <c r="A37" s="131" t="s">
        <v>29</v>
      </c>
      <c r="B37" s="132" t="s">
        <v>58</v>
      </c>
      <c r="C37" s="279">
        <f>SUM(C29:C36)</f>
        <v>2117.2600000000002</v>
      </c>
      <c r="D37" s="279"/>
      <c r="E37" s="279">
        <f>SUM(E29:E36)</f>
        <v>469.84000000000003</v>
      </c>
      <c r="F37" s="279"/>
      <c r="G37" s="279">
        <f>SUM(G29:G36)</f>
        <v>2573.3609999999999</v>
      </c>
      <c r="H37" s="279"/>
      <c r="I37" s="279">
        <f>SUM(I29:I36)</f>
        <v>1559.3415</v>
      </c>
      <c r="J37" s="279"/>
      <c r="K37" s="279">
        <f>SUM(K29:K36)</f>
        <v>116.44</v>
      </c>
      <c r="L37" s="279"/>
      <c r="M37" s="279">
        <f>SUM(M29:M36)</f>
        <v>52.878</v>
      </c>
      <c r="N37" s="279"/>
      <c r="O37" s="133">
        <f t="shared" ref="O37" si="7">SUM(O29:O36)</f>
        <v>4807.0609999999997</v>
      </c>
      <c r="P37" s="133">
        <f>SUM(P29:P36)</f>
        <v>2082.0595000000003</v>
      </c>
    </row>
    <row r="38" spans="1:16" s="23" customFormat="1" ht="27.75" customHeight="1">
      <c r="A38" s="110"/>
      <c r="B38" s="24" t="s">
        <v>154</v>
      </c>
      <c r="C38" s="289">
        <f>C27+C37</f>
        <v>37818.090000000004</v>
      </c>
      <c r="D38" s="289"/>
      <c r="E38" s="289">
        <f t="shared" ref="E38" si="8">E27+E37</f>
        <v>14093.260100000001</v>
      </c>
      <c r="F38" s="289"/>
      <c r="G38" s="289">
        <f t="shared" ref="G38" si="9">G27+G37</f>
        <v>7999.1009999999978</v>
      </c>
      <c r="H38" s="289"/>
      <c r="I38" s="289">
        <f t="shared" ref="I38" si="10">I27+I37</f>
        <v>4226.6373000000003</v>
      </c>
      <c r="J38" s="289"/>
      <c r="K38" s="289">
        <f t="shared" ref="K38" si="11">K27+K37</f>
        <v>545.08400000000006</v>
      </c>
      <c r="L38" s="289"/>
      <c r="M38" s="289">
        <f t="shared" ref="M38" si="12">M27+M37</f>
        <v>202.64999999999998</v>
      </c>
      <c r="N38" s="289"/>
      <c r="O38" s="130">
        <f>O27+O37</f>
        <v>46362.275000000001</v>
      </c>
      <c r="P38" s="138">
        <f>P27+P37</f>
        <v>18522.547400000003</v>
      </c>
    </row>
    <row r="39" spans="1:16" s="23" customFormat="1" ht="20.100000000000001" customHeight="1">
      <c r="A39" s="102"/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ht="47.25" customHeight="1">
      <c r="A40" s="266" t="str">
        <f>A2</f>
        <v>Statement Showing Approved Allocation, Release of funds under NMOOP for the year 2016-17 
{Position as on 06.12.2016}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</row>
    <row r="41" spans="1:16" ht="20.100000000000001" customHeight="1">
      <c r="A41" s="122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6">
      <c r="A42" s="285" t="s">
        <v>37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</row>
    <row r="43" spans="1:16" s="7" customFormat="1" ht="18.75">
      <c r="A43" s="286" t="s">
        <v>0</v>
      </c>
      <c r="B43" s="288" t="s">
        <v>151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271" t="s">
        <v>38</v>
      </c>
      <c r="P43" s="272"/>
    </row>
    <row r="44" spans="1:16" s="7" customFormat="1" ht="34.5" customHeight="1">
      <c r="A44" s="287"/>
      <c r="B44" s="288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1" t="s">
        <v>139</v>
      </c>
      <c r="P44" s="11" t="s">
        <v>79</v>
      </c>
    </row>
    <row r="45" spans="1:16" s="7" customFormat="1" ht="18.75">
      <c r="A45" s="106"/>
      <c r="B45" s="135" t="s">
        <v>48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264" t="s">
        <v>66</v>
      </c>
      <c r="P45" s="264"/>
    </row>
    <row r="46" spans="1:16" s="7" customFormat="1" ht="20.100000000000001" customHeight="1">
      <c r="A46" s="107">
        <v>29</v>
      </c>
      <c r="B46" s="112" t="s">
        <v>67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3">
        <v>5</v>
      </c>
      <c r="P46" s="113"/>
    </row>
    <row r="47" spans="1:16" s="7" customFormat="1" ht="20.100000000000001" customHeight="1">
      <c r="A47" s="107">
        <v>30</v>
      </c>
      <c r="B47" s="112" t="s">
        <v>35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3">
        <v>60</v>
      </c>
      <c r="P47" s="113">
        <f xml:space="preserve"> 24</f>
        <v>24</v>
      </c>
    </row>
    <row r="48" spans="1:16" s="7" customFormat="1" ht="20.100000000000001" customHeight="1">
      <c r="A48" s="107">
        <v>31</v>
      </c>
      <c r="B48" s="112" t="s">
        <v>68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3">
        <v>10</v>
      </c>
      <c r="P48" s="113"/>
    </row>
    <row r="49" spans="1:16" s="7" customFormat="1" ht="20.100000000000001" customHeight="1">
      <c r="A49" s="107">
        <v>32</v>
      </c>
      <c r="B49" s="112" t="s">
        <v>36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3">
        <v>5</v>
      </c>
      <c r="P49" s="113"/>
    </row>
    <row r="50" spans="1:16" s="7" customFormat="1" ht="20.100000000000001" customHeight="1">
      <c r="A50" s="235">
        <v>33</v>
      </c>
      <c r="B50" s="234" t="s">
        <v>202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232">
        <f>SUM(O51)</f>
        <v>0</v>
      </c>
      <c r="P50" s="113">
        <f>SUM(P51)</f>
        <v>4</v>
      </c>
    </row>
    <row r="51" spans="1:16" s="16" customFormat="1" ht="20.100000000000001" customHeight="1">
      <c r="A51" s="115" t="s">
        <v>69</v>
      </c>
      <c r="B51" s="116" t="s">
        <v>213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8"/>
      <c r="P51" s="118">
        <v>4</v>
      </c>
    </row>
    <row r="52" spans="1:16" s="7" customFormat="1" ht="18" customHeight="1">
      <c r="A52" s="106">
        <v>34</v>
      </c>
      <c r="B52" s="136" t="s">
        <v>41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37">
        <f>SUM(O53:O59)</f>
        <v>73.460000000000008</v>
      </c>
      <c r="P52" s="192">
        <f>SUM(P53:P59)</f>
        <v>58.13664</v>
      </c>
    </row>
    <row r="53" spans="1:16" s="16" customFormat="1" ht="20.100000000000001" customHeight="1">
      <c r="A53" s="115" t="s">
        <v>69</v>
      </c>
      <c r="B53" s="116" t="s">
        <v>152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>
        <v>10.06</v>
      </c>
      <c r="P53" s="118">
        <v>5.03</v>
      </c>
    </row>
    <row r="54" spans="1:16" s="16" customFormat="1" ht="20.100000000000001" customHeight="1">
      <c r="A54" s="115" t="s">
        <v>70</v>
      </c>
      <c r="B54" s="116" t="s">
        <v>153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8">
        <v>5.81</v>
      </c>
      <c r="P54" s="118">
        <v>4.3499999999999996</v>
      </c>
    </row>
    <row r="55" spans="1:16" s="16" customFormat="1" ht="20.100000000000001" customHeight="1">
      <c r="A55" s="115" t="s">
        <v>71</v>
      </c>
      <c r="B55" s="116" t="s">
        <v>138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>
        <v>5.47</v>
      </c>
      <c r="P55" s="118">
        <v>4</v>
      </c>
    </row>
    <row r="56" spans="1:16" s="16" customFormat="1" ht="20.100000000000001" customHeight="1">
      <c r="A56" s="115" t="s">
        <v>72</v>
      </c>
      <c r="B56" s="116" t="s">
        <v>160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8">
        <f xml:space="preserve"> 7.52 + 9.92</f>
        <v>17.439999999999998</v>
      </c>
      <c r="P56" s="118">
        <f xml:space="preserve"> 3 + 7.44 + 2</f>
        <v>12.440000000000001</v>
      </c>
    </row>
    <row r="57" spans="1:16" s="16" customFormat="1" ht="20.100000000000001" customHeight="1">
      <c r="A57" s="115" t="s">
        <v>73</v>
      </c>
      <c r="B57" s="116" t="s">
        <v>161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>
        <v>6.85</v>
      </c>
      <c r="P57" s="118">
        <v>3.50664</v>
      </c>
    </row>
    <row r="58" spans="1:16" s="16" customFormat="1" ht="20.100000000000001" customHeight="1">
      <c r="A58" s="115" t="s">
        <v>175</v>
      </c>
      <c r="B58" s="116" t="s">
        <v>176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>
        <v>17.829999999999998</v>
      </c>
      <c r="P58" s="118">
        <f xml:space="preserve"> 0.5 + 13.37</f>
        <v>13.87</v>
      </c>
    </row>
    <row r="59" spans="1:16" s="16" customFormat="1" ht="20.100000000000001" customHeight="1">
      <c r="A59" s="115" t="s">
        <v>197</v>
      </c>
      <c r="B59" s="116" t="s">
        <v>198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>
        <v>10</v>
      </c>
      <c r="P59" s="118">
        <v>14.94</v>
      </c>
    </row>
    <row r="60" spans="1:16" s="7" customFormat="1" ht="18" customHeight="1">
      <c r="A60" s="106">
        <v>35</v>
      </c>
      <c r="B60" s="136" t="s">
        <v>42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4">
        <f>SUM(O61:O62)</f>
        <v>250.57000000000005</v>
      </c>
      <c r="P60" s="114">
        <f>SUM(P61:P62)</f>
        <v>155.79933999999997</v>
      </c>
    </row>
    <row r="61" spans="1:16" s="16" customFormat="1" ht="20.100000000000001" customHeight="1">
      <c r="A61" s="115" t="s">
        <v>69</v>
      </c>
      <c r="B61" s="116" t="s">
        <v>143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>
        <f>67.7 + 129.15 + 26.37 + 14.96</f>
        <v>238.18000000000004</v>
      </c>
      <c r="P61" s="118">
        <f xml:space="preserve"> 117.27 + 18.01934 + 11.22</f>
        <v>146.50933999999998</v>
      </c>
    </row>
    <row r="62" spans="1:16" s="16" customFormat="1" ht="20.100000000000001" customHeight="1">
      <c r="A62" s="115" t="s">
        <v>70</v>
      </c>
      <c r="B62" s="116" t="s">
        <v>178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>
        <v>12.39</v>
      </c>
      <c r="P62" s="118">
        <v>9.2899999999999991</v>
      </c>
    </row>
    <row r="63" spans="1:16" s="7" customFormat="1" ht="20.100000000000001" customHeight="1">
      <c r="A63" s="107">
        <v>36</v>
      </c>
      <c r="B63" s="112" t="s">
        <v>219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3">
        <v>5</v>
      </c>
      <c r="P63" s="113">
        <v>4.5</v>
      </c>
    </row>
    <row r="64" spans="1:16" s="7" customFormat="1" ht="20.100000000000001" customHeight="1">
      <c r="A64" s="107">
        <v>37</v>
      </c>
      <c r="B64" s="112" t="s">
        <v>195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3">
        <v>1026.03</v>
      </c>
      <c r="P64" s="113">
        <v>584.16745000000003</v>
      </c>
    </row>
    <row r="65" spans="1:16" s="7" customFormat="1" ht="20.100000000000001" customHeight="1">
      <c r="A65" s="107">
        <v>38</v>
      </c>
      <c r="B65" s="112" t="s">
        <v>40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3"/>
      <c r="P65" s="113"/>
    </row>
    <row r="66" spans="1:16" s="98" customFormat="1" ht="31.5">
      <c r="A66" s="97">
        <v>39</v>
      </c>
      <c r="B66" s="136" t="s">
        <v>155</v>
      </c>
      <c r="C66" s="99" t="s">
        <v>145</v>
      </c>
      <c r="D66" s="99" t="s">
        <v>146</v>
      </c>
      <c r="E66" s="99" t="s">
        <v>147</v>
      </c>
      <c r="F66" s="99" t="s">
        <v>148</v>
      </c>
      <c r="G66" s="99" t="s">
        <v>149</v>
      </c>
      <c r="H66" s="99"/>
      <c r="I66" s="99"/>
      <c r="J66" s="99"/>
      <c r="K66" s="99"/>
      <c r="L66" s="99"/>
      <c r="M66" s="119"/>
      <c r="N66" s="119"/>
      <c r="O66" s="120">
        <f>SUM(O67:O71)</f>
        <v>10049.0751</v>
      </c>
      <c r="P66" s="120">
        <f>SUM(P67:P71)</f>
        <v>7527.5806400000001</v>
      </c>
    </row>
    <row r="67" spans="1:16" s="16" customFormat="1" ht="20.100000000000001" customHeight="1">
      <c r="A67" s="115" t="s">
        <v>69</v>
      </c>
      <c r="B67" s="116" t="s">
        <v>74</v>
      </c>
      <c r="C67" s="121">
        <f xml:space="preserve"> 1262.01 + 1746.9251</f>
        <v>3008.9350999999997</v>
      </c>
      <c r="D67" s="121">
        <v>87.19</v>
      </c>
      <c r="E67" s="121">
        <v>148.22</v>
      </c>
      <c r="F67" s="121">
        <v>2554.59</v>
      </c>
      <c r="G67" s="121">
        <v>1307.81</v>
      </c>
      <c r="H67" s="121"/>
      <c r="I67" s="121"/>
      <c r="J67" s="121"/>
      <c r="K67" s="121"/>
      <c r="L67" s="121"/>
      <c r="M67" s="121"/>
      <c r="N67" s="121"/>
      <c r="O67" s="118">
        <f>SUM(C67:G67)</f>
        <v>7106.7451000000001</v>
      </c>
      <c r="P67" s="118">
        <f xml:space="preserve"> 1500 + 1738.3864 + 126.23682 + 1225.29435 + 119.3616 + 742.40597 + 654.375</f>
        <v>6106.0601400000005</v>
      </c>
    </row>
    <row r="68" spans="1:16" s="16" customFormat="1" ht="20.100000000000001" customHeight="1">
      <c r="A68" s="115" t="s">
        <v>70</v>
      </c>
      <c r="B68" s="116" t="s">
        <v>75</v>
      </c>
      <c r="C68" s="121">
        <f xml:space="preserve"> 420.41 + 604.225</f>
        <v>1024.635</v>
      </c>
      <c r="D68" s="121">
        <v>23.92</v>
      </c>
      <c r="E68" s="121">
        <v>47.92</v>
      </c>
      <c r="F68" s="121">
        <v>381.03</v>
      </c>
      <c r="G68" s="121">
        <v>192.77</v>
      </c>
      <c r="H68" s="121"/>
      <c r="I68" s="121"/>
      <c r="J68" s="121"/>
      <c r="K68" s="121"/>
      <c r="L68" s="121"/>
      <c r="M68" s="121"/>
      <c r="N68" s="121"/>
      <c r="O68" s="118">
        <f t="shared" ref="O68:O71" si="13">SUM(C68:G68)</f>
        <v>1670.2750000000001</v>
      </c>
      <c r="P68" s="118">
        <f xml:space="preserve"> 109.5277 + 40.028 + 22.525 + 408.0543</f>
        <v>580.13499999999999</v>
      </c>
    </row>
    <row r="69" spans="1:16" s="16" customFormat="1" ht="20.100000000000001" customHeight="1">
      <c r="A69" s="115" t="s">
        <v>71</v>
      </c>
      <c r="B69" s="116" t="s">
        <v>76</v>
      </c>
      <c r="C69" s="121">
        <f xml:space="preserve"> 150.94 + 55</f>
        <v>205.94</v>
      </c>
      <c r="D69" s="121">
        <v>23.88</v>
      </c>
      <c r="E69" s="121">
        <v>28.09</v>
      </c>
      <c r="F69" s="121">
        <v>339.8</v>
      </c>
      <c r="G69" s="121">
        <v>181.56</v>
      </c>
      <c r="H69" s="121"/>
      <c r="I69" s="121"/>
      <c r="J69" s="121"/>
      <c r="K69" s="121"/>
      <c r="L69" s="121"/>
      <c r="M69" s="121"/>
      <c r="N69" s="121"/>
      <c r="O69" s="118">
        <f t="shared" si="13"/>
        <v>779.27</v>
      </c>
      <c r="P69" s="118">
        <f xml:space="preserve"> 12.1171 + 308.1302 + 177.925 + 181.56</f>
        <v>679.73230000000001</v>
      </c>
    </row>
    <row r="70" spans="1:16" s="16" customFormat="1" ht="20.100000000000001" customHeight="1">
      <c r="A70" s="115" t="s">
        <v>72</v>
      </c>
      <c r="B70" s="116" t="s">
        <v>77</v>
      </c>
      <c r="C70" s="121">
        <f xml:space="preserve"> 23.38 + 62.5</f>
        <v>85.88</v>
      </c>
      <c r="D70" s="121"/>
      <c r="E70" s="121">
        <v>17.48</v>
      </c>
      <c r="F70" s="121">
        <v>131.25</v>
      </c>
      <c r="G70" s="121">
        <v>78.77</v>
      </c>
      <c r="H70" s="121"/>
      <c r="I70" s="121"/>
      <c r="J70" s="121"/>
      <c r="K70" s="121"/>
      <c r="L70" s="121"/>
      <c r="M70" s="121"/>
      <c r="N70" s="121"/>
      <c r="O70" s="118">
        <f t="shared" si="13"/>
        <v>313.38</v>
      </c>
      <c r="P70" s="118">
        <f xml:space="preserve"> 28.4193 + 15.1032</f>
        <v>43.522500000000001</v>
      </c>
    </row>
    <row r="71" spans="1:16" s="16" customFormat="1" ht="20.100000000000001" customHeight="1">
      <c r="A71" s="115" t="s">
        <v>73</v>
      </c>
      <c r="B71" s="116" t="s">
        <v>78</v>
      </c>
      <c r="C71" s="121">
        <f xml:space="preserve"> 40.03 + 16.875</f>
        <v>56.905000000000001</v>
      </c>
      <c r="D71" s="121">
        <v>0.87</v>
      </c>
      <c r="E71" s="121">
        <v>3.04</v>
      </c>
      <c r="F71" s="121">
        <v>83.59</v>
      </c>
      <c r="G71" s="121">
        <v>35</v>
      </c>
      <c r="H71" s="121"/>
      <c r="I71" s="121"/>
      <c r="J71" s="121"/>
      <c r="K71" s="121"/>
      <c r="L71" s="121"/>
      <c r="M71" s="121"/>
      <c r="N71" s="121"/>
      <c r="O71" s="118">
        <f t="shared" si="13"/>
        <v>179.405</v>
      </c>
      <c r="P71" s="118">
        <f xml:space="preserve"> 1.1495 + 21.0612 + 67.73 + 28.19</f>
        <v>118.1307</v>
      </c>
    </row>
    <row r="72" spans="1:16" s="23" customFormat="1" ht="18" customHeight="1">
      <c r="A72" s="20" t="s">
        <v>30</v>
      </c>
      <c r="B72" s="21" t="s">
        <v>61</v>
      </c>
      <c r="C72" s="22">
        <f>SUM(C67:C71)</f>
        <v>4382.2950999999994</v>
      </c>
      <c r="D72" s="22">
        <f t="shared" ref="D72:G72" si="14">SUM(D67:D71)</f>
        <v>135.86000000000001</v>
      </c>
      <c r="E72" s="22">
        <f t="shared" si="14"/>
        <v>244.74999999999997</v>
      </c>
      <c r="F72" s="22">
        <f t="shared" si="14"/>
        <v>3490.26</v>
      </c>
      <c r="G72" s="22">
        <f t="shared" si="14"/>
        <v>1795.9099999999999</v>
      </c>
      <c r="H72" s="22"/>
      <c r="I72" s="22"/>
      <c r="J72" s="22"/>
      <c r="K72" s="22"/>
      <c r="L72" s="22"/>
      <c r="M72" s="22"/>
      <c r="N72" s="22"/>
      <c r="O72" s="22">
        <f>SUM(O46:O52) + SUM(O60) + SUM(O63:O66)</f>
        <v>11484.135100000001</v>
      </c>
      <c r="P72" s="22">
        <f>SUM(P46:P50) + SUM(P52) + SUM(P60) + SUM(P63:P66)</f>
        <v>8358.1840699999993</v>
      </c>
    </row>
    <row r="73" spans="1:16" s="23" customFormat="1" ht="21.95" customHeight="1">
      <c r="A73" s="20"/>
      <c r="B73" s="21" t="s">
        <v>214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>
        <f>O38+O72</f>
        <v>57846.410100000001</v>
      </c>
      <c r="P73" s="22">
        <f>P38+P72</f>
        <v>26880.731470000002</v>
      </c>
    </row>
    <row r="74" spans="1:16" s="16" customFormat="1" ht="18.75">
      <c r="A74" s="14"/>
      <c r="B74" s="135" t="s">
        <v>46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s="7" customFormat="1" ht="20.100000000000001" customHeight="1">
      <c r="A75" s="107">
        <v>40</v>
      </c>
      <c r="B75" s="108" t="s">
        <v>47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09">
        <v>300</v>
      </c>
      <c r="P75" s="109">
        <v>60</v>
      </c>
    </row>
    <row r="76" spans="1:16" s="19" customFormat="1" ht="21.95" customHeight="1" thickBot="1">
      <c r="A76" s="17"/>
      <c r="B76" s="18" t="s">
        <v>215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>
        <f>O73+O75</f>
        <v>58146.410100000001</v>
      </c>
      <c r="P76" s="28">
        <f>P73+P75</f>
        <v>26940.731470000002</v>
      </c>
    </row>
    <row r="77" spans="1:16" s="7" customFormat="1" ht="18" customHeight="1" thickTop="1">
      <c r="A77" s="25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</sheetData>
  <mergeCells count="215">
    <mergeCell ref="A1:P1"/>
    <mergeCell ref="A40:P40"/>
    <mergeCell ref="A42:P42"/>
    <mergeCell ref="A43:A44"/>
    <mergeCell ref="B43:B44"/>
    <mergeCell ref="O43:P43"/>
    <mergeCell ref="C38:D38"/>
    <mergeCell ref="M29:N29"/>
    <mergeCell ref="M30:N30"/>
    <mergeCell ref="M31:N31"/>
    <mergeCell ref="M32:N32"/>
    <mergeCell ref="M33:N33"/>
    <mergeCell ref="M34:N34"/>
    <mergeCell ref="M35:N35"/>
    <mergeCell ref="M36:N36"/>
    <mergeCell ref="E38:F38"/>
    <mergeCell ref="G38:H38"/>
    <mergeCell ref="I38:J38"/>
    <mergeCell ref="K38:L38"/>
    <mergeCell ref="M38:N38"/>
    <mergeCell ref="M37:N37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G34:H34"/>
    <mergeCell ref="G35:H35"/>
    <mergeCell ref="G36:H36"/>
    <mergeCell ref="G37:H37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28:H28"/>
    <mergeCell ref="G29:H29"/>
    <mergeCell ref="G30:H30"/>
    <mergeCell ref="G31:H31"/>
    <mergeCell ref="G32:H32"/>
    <mergeCell ref="G33:H33"/>
    <mergeCell ref="M10:N10"/>
    <mergeCell ref="M9:N9"/>
    <mergeCell ref="M8:N8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M28:N28"/>
    <mergeCell ref="I28:J28"/>
    <mergeCell ref="K28:L28"/>
    <mergeCell ref="M16:N16"/>
    <mergeCell ref="M15:N15"/>
    <mergeCell ref="M14:N14"/>
    <mergeCell ref="M13:N13"/>
    <mergeCell ref="M12:N12"/>
    <mergeCell ref="M11:N11"/>
    <mergeCell ref="M22:N22"/>
    <mergeCell ref="M21:N21"/>
    <mergeCell ref="M20:N20"/>
    <mergeCell ref="M19:N19"/>
    <mergeCell ref="M18:N18"/>
    <mergeCell ref="M17:N17"/>
    <mergeCell ref="K26:L26"/>
    <mergeCell ref="K27:L27"/>
    <mergeCell ref="M26:N26"/>
    <mergeCell ref="M25:N25"/>
    <mergeCell ref="M24:N24"/>
    <mergeCell ref="M23:N23"/>
    <mergeCell ref="K20:L20"/>
    <mergeCell ref="K21:L21"/>
    <mergeCell ref="M27:N27"/>
    <mergeCell ref="K13:L13"/>
    <mergeCell ref="I17:J17"/>
    <mergeCell ref="I16:J16"/>
    <mergeCell ref="I15:J15"/>
    <mergeCell ref="I14:J14"/>
    <mergeCell ref="I13:J13"/>
    <mergeCell ref="I12:J12"/>
    <mergeCell ref="I23:J23"/>
    <mergeCell ref="I22:J22"/>
    <mergeCell ref="I21:J21"/>
    <mergeCell ref="I20:J20"/>
    <mergeCell ref="I19:J19"/>
    <mergeCell ref="I18:J18"/>
    <mergeCell ref="G26:H26"/>
    <mergeCell ref="G27:H27"/>
    <mergeCell ref="I27:J27"/>
    <mergeCell ref="I26:J26"/>
    <mergeCell ref="I25:J25"/>
    <mergeCell ref="I24:J24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12:H12"/>
    <mergeCell ref="G13:H13"/>
    <mergeCell ref="I7:J7"/>
    <mergeCell ref="I8:J8"/>
    <mergeCell ref="I9:J9"/>
    <mergeCell ref="I10:J10"/>
    <mergeCell ref="I11:J11"/>
    <mergeCell ref="E7:F7"/>
    <mergeCell ref="G7:H7"/>
    <mergeCell ref="G8:H8"/>
    <mergeCell ref="G5:J5"/>
    <mergeCell ref="K5:N5"/>
    <mergeCell ref="G6:H6"/>
    <mergeCell ref="I6:J6"/>
    <mergeCell ref="K6:L6"/>
    <mergeCell ref="M6:N6"/>
    <mergeCell ref="K7:L7"/>
    <mergeCell ref="M7:N7"/>
    <mergeCell ref="E13:F13"/>
    <mergeCell ref="E12:F12"/>
    <mergeCell ref="E11:F11"/>
    <mergeCell ref="E10:F10"/>
    <mergeCell ref="E9:F9"/>
    <mergeCell ref="E8:F8"/>
    <mergeCell ref="E23:F23"/>
    <mergeCell ref="E22:F22"/>
    <mergeCell ref="E21:F21"/>
    <mergeCell ref="E20:F20"/>
    <mergeCell ref="E19:F19"/>
    <mergeCell ref="E18:F18"/>
    <mergeCell ref="E36:F36"/>
    <mergeCell ref="E37:F37"/>
    <mergeCell ref="E27:F27"/>
    <mergeCell ref="E26:F26"/>
    <mergeCell ref="E25:F25"/>
    <mergeCell ref="E24:F24"/>
    <mergeCell ref="C36:D36"/>
    <mergeCell ref="C37:D37"/>
    <mergeCell ref="E28:F28"/>
    <mergeCell ref="E29:F29"/>
    <mergeCell ref="E30:F30"/>
    <mergeCell ref="E31:F31"/>
    <mergeCell ref="E32:F32"/>
    <mergeCell ref="E33:F33"/>
    <mergeCell ref="E34:F34"/>
    <mergeCell ref="E35:F35"/>
    <mergeCell ref="C31:D31"/>
    <mergeCell ref="C28:D28"/>
    <mergeCell ref="C32:D32"/>
    <mergeCell ref="C33:D33"/>
    <mergeCell ref="C34:D34"/>
    <mergeCell ref="C35:D35"/>
    <mergeCell ref="C24:D24"/>
    <mergeCell ref="C25:D25"/>
    <mergeCell ref="C9:D9"/>
    <mergeCell ref="C10:D10"/>
    <mergeCell ref="C11:D11"/>
    <mergeCell ref="C12:D12"/>
    <mergeCell ref="C13:D13"/>
    <mergeCell ref="C26:D26"/>
    <mergeCell ref="C27:D27"/>
    <mergeCell ref="C29:D29"/>
    <mergeCell ref="C30:D30"/>
    <mergeCell ref="C18:D18"/>
    <mergeCell ref="C19:D19"/>
    <mergeCell ref="C20:D20"/>
    <mergeCell ref="C21:D21"/>
    <mergeCell ref="C22:D22"/>
    <mergeCell ref="C23:D23"/>
    <mergeCell ref="O7:P7"/>
    <mergeCell ref="O28:P28"/>
    <mergeCell ref="O45:P45"/>
    <mergeCell ref="G9:H9"/>
    <mergeCell ref="G10:H10"/>
    <mergeCell ref="G11:H11"/>
    <mergeCell ref="A2:P2"/>
    <mergeCell ref="A4:P4"/>
    <mergeCell ref="A5:A6"/>
    <mergeCell ref="B5:B6"/>
    <mergeCell ref="O5:P5"/>
    <mergeCell ref="C5:F5"/>
    <mergeCell ref="C6:D6"/>
    <mergeCell ref="C14:D14"/>
    <mergeCell ref="C15:D15"/>
    <mergeCell ref="E6:F6"/>
    <mergeCell ref="C7:D7"/>
    <mergeCell ref="C16:D16"/>
    <mergeCell ref="C17:D17"/>
    <mergeCell ref="E17:F17"/>
    <mergeCell ref="E16:F16"/>
    <mergeCell ref="E15:F15"/>
    <mergeCell ref="E14:F14"/>
    <mergeCell ref="C8:D8"/>
  </mergeCells>
  <printOptions horizontalCentered="1"/>
  <pageMargins left="0.25" right="0.25" top="0.25" bottom="0.5" header="0.25" footer="0.5"/>
  <pageSetup scale="55" orientation="landscape" r:id="rId1"/>
  <headerFooter>
    <oddFooter>&amp;C&amp;"Arial Black,Regular"&amp;14&amp;P</oddFooter>
  </headerFooter>
  <rowBreaks count="1" manualBreakCount="1">
    <brk id="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Normal="100" zoomScaleSheetLayoutView="100" workbookViewId="0">
      <selection activeCell="D22" sqref="D22"/>
    </sheetView>
  </sheetViews>
  <sheetFormatPr defaultColWidth="9.140625" defaultRowHeight="15"/>
  <cols>
    <col min="1" max="1" width="9.140625" style="76"/>
    <col min="2" max="2" width="39.140625" style="75" customWidth="1"/>
    <col min="3" max="3" width="15.140625" style="75" customWidth="1"/>
    <col min="4" max="4" width="17.28515625" style="75" customWidth="1"/>
    <col min="5" max="5" width="9.140625" style="75"/>
    <col min="6" max="6" width="16.85546875" style="75" customWidth="1"/>
    <col min="7" max="16384" width="9.140625" style="75"/>
  </cols>
  <sheetData>
    <row r="1" spans="1:10" ht="59.25" customHeight="1">
      <c r="A1" s="290" t="s">
        <v>227</v>
      </c>
      <c r="B1" s="290"/>
      <c r="C1" s="290"/>
      <c r="D1" s="290"/>
      <c r="E1" s="73" t="s">
        <v>88</v>
      </c>
      <c r="F1" s="74">
        <f>D7/'Annexure - IV'!J12</f>
        <v>0.54602003220000006</v>
      </c>
    </row>
    <row r="2" spans="1:10">
      <c r="E2" s="291" t="s">
        <v>89</v>
      </c>
      <c r="F2" s="292">
        <v>0</v>
      </c>
    </row>
    <row r="3" spans="1:10">
      <c r="A3" s="293" t="s">
        <v>99</v>
      </c>
      <c r="B3" s="293"/>
      <c r="C3" s="293"/>
      <c r="D3" s="293"/>
      <c r="E3" s="291"/>
      <c r="F3" s="292"/>
    </row>
    <row r="4" spans="1:10">
      <c r="A4" s="77" t="s">
        <v>0</v>
      </c>
      <c r="B4" s="294" t="s">
        <v>100</v>
      </c>
      <c r="C4" s="294"/>
      <c r="D4" s="77" t="s">
        <v>101</v>
      </c>
    </row>
    <row r="5" spans="1:10" ht="17.25" customHeight="1">
      <c r="A5" s="78">
        <v>1</v>
      </c>
      <c r="B5" s="255" t="s">
        <v>102</v>
      </c>
      <c r="C5" s="255"/>
      <c r="D5" s="79">
        <f>ADC!P76</f>
        <v>26940.731470000002</v>
      </c>
    </row>
    <row r="6" spans="1:10" ht="17.25" customHeight="1">
      <c r="A6" s="78">
        <v>2</v>
      </c>
      <c r="B6" s="299" t="s">
        <v>103</v>
      </c>
      <c r="C6" s="300"/>
      <c r="D6" s="79">
        <f>C17</f>
        <v>360.27014000000003</v>
      </c>
    </row>
    <row r="7" spans="1:10" s="81" customFormat="1">
      <c r="A7" s="294" t="s">
        <v>94</v>
      </c>
      <c r="B7" s="294"/>
      <c r="C7" s="294"/>
      <c r="D7" s="80">
        <f>SUM(D5:D6)</f>
        <v>27301.001610000003</v>
      </c>
      <c r="F7" s="82"/>
      <c r="G7" s="82"/>
      <c r="H7" s="82"/>
      <c r="I7" s="82"/>
      <c r="J7" s="82"/>
    </row>
    <row r="8" spans="1:10">
      <c r="F8" s="83"/>
      <c r="G8" s="83"/>
      <c r="H8" s="83"/>
      <c r="I8" s="83"/>
      <c r="J8" s="83"/>
    </row>
    <row r="9" spans="1:10" ht="15" customHeight="1">
      <c r="A9" s="297" t="s">
        <v>99</v>
      </c>
      <c r="B9" s="297"/>
      <c r="C9" s="297"/>
      <c r="F9" s="84"/>
      <c r="G9" s="83"/>
      <c r="H9" s="84"/>
      <c r="I9" s="83"/>
      <c r="J9" s="83"/>
    </row>
    <row r="10" spans="1:10">
      <c r="A10" s="294" t="s">
        <v>0</v>
      </c>
      <c r="B10" s="294" t="s">
        <v>103</v>
      </c>
      <c r="C10" s="294"/>
      <c r="F10" s="84"/>
      <c r="G10" s="83"/>
      <c r="H10" s="84"/>
      <c r="I10" s="83"/>
      <c r="J10" s="83"/>
    </row>
    <row r="11" spans="1:10">
      <c r="A11" s="294"/>
      <c r="B11" s="77" t="s">
        <v>104</v>
      </c>
      <c r="C11" s="77" t="s">
        <v>101</v>
      </c>
      <c r="D11" s="81"/>
      <c r="F11" s="84"/>
      <c r="G11" s="83"/>
      <c r="H11" s="84"/>
      <c r="I11" s="83"/>
      <c r="J11" s="83"/>
    </row>
    <row r="12" spans="1:10">
      <c r="A12" s="85">
        <v>1</v>
      </c>
      <c r="B12" s="86" t="s">
        <v>15</v>
      </c>
      <c r="C12" s="87">
        <v>299.3</v>
      </c>
      <c r="D12" s="81"/>
      <c r="F12" s="84"/>
      <c r="G12" s="83"/>
      <c r="H12" s="84"/>
      <c r="I12" s="83"/>
      <c r="J12" s="83"/>
    </row>
    <row r="13" spans="1:10">
      <c r="A13" s="85">
        <v>2</v>
      </c>
      <c r="B13" s="86" t="s">
        <v>217</v>
      </c>
      <c r="C13" s="87">
        <v>5</v>
      </c>
      <c r="D13" s="81"/>
      <c r="F13" s="84"/>
      <c r="G13" s="83"/>
      <c r="H13" s="84"/>
      <c r="I13" s="83"/>
      <c r="J13" s="83"/>
    </row>
    <row r="14" spans="1:10" ht="30">
      <c r="A14" s="85">
        <v>5</v>
      </c>
      <c r="B14" s="86" t="s">
        <v>222</v>
      </c>
      <c r="C14" s="87">
        <v>48.531979999999997</v>
      </c>
      <c r="D14" s="81"/>
      <c r="F14" s="84"/>
      <c r="G14" s="83"/>
      <c r="H14" s="84"/>
      <c r="I14" s="83"/>
      <c r="J14" s="83"/>
    </row>
    <row r="15" spans="1:10">
      <c r="A15" s="85">
        <v>6</v>
      </c>
      <c r="B15" s="86" t="s">
        <v>223</v>
      </c>
      <c r="C15" s="87">
        <v>7.2225000000000001</v>
      </c>
      <c r="D15" s="81"/>
      <c r="F15" s="84"/>
      <c r="G15" s="83"/>
      <c r="H15" s="84"/>
      <c r="I15" s="83"/>
      <c r="J15" s="83"/>
    </row>
    <row r="16" spans="1:10">
      <c r="A16" s="85">
        <v>7</v>
      </c>
      <c r="B16" s="86" t="s">
        <v>224</v>
      </c>
      <c r="C16" s="87">
        <v>0.21565999999999999</v>
      </c>
      <c r="D16" s="81"/>
      <c r="F16" s="84"/>
      <c r="G16" s="83"/>
      <c r="H16" s="84"/>
      <c r="I16" s="83"/>
      <c r="J16" s="83"/>
    </row>
    <row r="17" spans="1:4" s="81" customFormat="1">
      <c r="A17" s="294" t="s">
        <v>94</v>
      </c>
      <c r="B17" s="294"/>
      <c r="C17" s="88">
        <f>SUM(C12:C16)</f>
        <v>360.27014000000003</v>
      </c>
      <c r="D17" s="82"/>
    </row>
    <row r="18" spans="1:4" s="81" customFormat="1">
      <c r="A18" s="89"/>
      <c r="B18" s="89"/>
      <c r="C18" s="90"/>
      <c r="D18" s="82"/>
    </row>
    <row r="19" spans="1:4" ht="15" customHeight="1">
      <c r="A19" s="298" t="s">
        <v>99</v>
      </c>
      <c r="B19" s="298"/>
      <c r="C19" s="298"/>
    </row>
    <row r="20" spans="1:4" ht="15" customHeight="1">
      <c r="A20" s="294" t="s">
        <v>0</v>
      </c>
      <c r="B20" s="295" t="s">
        <v>106</v>
      </c>
      <c r="C20" s="296"/>
    </row>
    <row r="21" spans="1:4">
      <c r="A21" s="294"/>
      <c r="B21" s="139" t="s">
        <v>104</v>
      </c>
      <c r="C21" s="139" t="s">
        <v>101</v>
      </c>
    </row>
    <row r="22" spans="1:4">
      <c r="A22" s="78">
        <v>1</v>
      </c>
      <c r="B22" s="86" t="s">
        <v>8</v>
      </c>
      <c r="C22" s="87">
        <v>1056</v>
      </c>
    </row>
    <row r="23" spans="1:4" s="81" customFormat="1" ht="17.25" customHeight="1">
      <c r="A23" s="294" t="s">
        <v>94</v>
      </c>
      <c r="B23" s="294"/>
      <c r="C23" s="88">
        <f>SUM(C22:C22)</f>
        <v>1056</v>
      </c>
    </row>
    <row r="24" spans="1:4" s="81" customFormat="1" ht="17.25" customHeight="1">
      <c r="A24" s="89"/>
      <c r="B24" s="89"/>
      <c r="C24" s="90"/>
    </row>
    <row r="25" spans="1:4" ht="15" customHeight="1">
      <c r="A25" s="298" t="s">
        <v>99</v>
      </c>
      <c r="B25" s="298"/>
      <c r="C25" s="298"/>
    </row>
    <row r="26" spans="1:4" ht="15" customHeight="1">
      <c r="A26" s="294" t="s">
        <v>0</v>
      </c>
      <c r="B26" s="295" t="s">
        <v>105</v>
      </c>
      <c r="C26" s="296"/>
    </row>
    <row r="27" spans="1:4">
      <c r="A27" s="294"/>
      <c r="B27" s="77" t="s">
        <v>104</v>
      </c>
      <c r="C27" s="77" t="s">
        <v>101</v>
      </c>
    </row>
    <row r="28" spans="1:4">
      <c r="A28" s="85">
        <v>1</v>
      </c>
      <c r="B28" s="86"/>
      <c r="C28" s="87"/>
    </row>
    <row r="29" spans="1:4" s="81" customFormat="1" ht="17.25" customHeight="1">
      <c r="A29" s="294" t="s">
        <v>94</v>
      </c>
      <c r="B29" s="294"/>
      <c r="C29" s="88">
        <f>SUM(C28:C28)</f>
        <v>0</v>
      </c>
    </row>
    <row r="30" spans="1:4" s="81" customFormat="1">
      <c r="A30" s="89"/>
      <c r="B30" s="89"/>
      <c r="C30" s="90"/>
    </row>
    <row r="31" spans="1:4" ht="15" customHeight="1">
      <c r="A31" s="298" t="s">
        <v>99</v>
      </c>
      <c r="B31" s="298"/>
      <c r="C31" s="298"/>
    </row>
    <row r="32" spans="1:4" ht="15" customHeight="1">
      <c r="A32" s="294" t="s">
        <v>0</v>
      </c>
      <c r="B32" s="295" t="s">
        <v>106</v>
      </c>
      <c r="C32" s="296"/>
    </row>
    <row r="33" spans="1:4">
      <c r="A33" s="294"/>
      <c r="B33" s="77" t="s">
        <v>104</v>
      </c>
      <c r="C33" s="77" t="s">
        <v>101</v>
      </c>
    </row>
    <row r="34" spans="1:4">
      <c r="A34" s="78">
        <v>1</v>
      </c>
      <c r="B34" s="86"/>
      <c r="C34" s="87"/>
    </row>
    <row r="35" spans="1:4" s="81" customFormat="1" ht="17.25" customHeight="1">
      <c r="A35" s="294" t="s">
        <v>94</v>
      </c>
      <c r="B35" s="294"/>
      <c r="C35" s="88">
        <f>SUM(C34:C34)</f>
        <v>0</v>
      </c>
    </row>
    <row r="36" spans="1:4" s="81" customFormat="1">
      <c r="A36" s="89"/>
      <c r="B36" s="89"/>
      <c r="C36" s="90"/>
      <c r="D36" s="82"/>
    </row>
    <row r="37" spans="1:4" ht="17.25" customHeight="1">
      <c r="A37" s="298" t="s">
        <v>99</v>
      </c>
      <c r="B37" s="298"/>
      <c r="C37" s="298"/>
    </row>
    <row r="38" spans="1:4" ht="17.25" customHeight="1">
      <c r="A38" s="294" t="s">
        <v>0</v>
      </c>
      <c r="B38" s="294" t="s">
        <v>107</v>
      </c>
      <c r="C38" s="294"/>
    </row>
    <row r="39" spans="1:4" ht="17.25" customHeight="1">
      <c r="A39" s="294"/>
      <c r="B39" s="77" t="s">
        <v>104</v>
      </c>
      <c r="C39" s="77" t="s">
        <v>101</v>
      </c>
    </row>
    <row r="40" spans="1:4" ht="17.25" customHeight="1">
      <c r="A40" s="78">
        <v>1</v>
      </c>
      <c r="B40" s="86"/>
      <c r="C40" s="87"/>
    </row>
    <row r="41" spans="1:4" s="81" customFormat="1" ht="17.25" customHeight="1">
      <c r="A41" s="294" t="s">
        <v>94</v>
      </c>
      <c r="B41" s="294"/>
      <c r="C41" s="88">
        <f>SUM(C40)</f>
        <v>0</v>
      </c>
    </row>
    <row r="42" spans="1:4" s="81" customFormat="1" ht="17.25" customHeight="1">
      <c r="A42" s="89"/>
      <c r="B42" s="89"/>
      <c r="C42" s="90"/>
    </row>
    <row r="43" spans="1:4" ht="17.25" customHeight="1"/>
  </sheetData>
  <mergeCells count="28">
    <mergeCell ref="B6:C6"/>
    <mergeCell ref="A35:B35"/>
    <mergeCell ref="A37:C37"/>
    <mergeCell ref="A38:A39"/>
    <mergeCell ref="B38:C38"/>
    <mergeCell ref="A19:C19"/>
    <mergeCell ref="A20:A21"/>
    <mergeCell ref="B20:C20"/>
    <mergeCell ref="A23:B23"/>
    <mergeCell ref="A41:B41"/>
    <mergeCell ref="A32:A33"/>
    <mergeCell ref="B32:C32"/>
    <mergeCell ref="A7:C7"/>
    <mergeCell ref="A9:C9"/>
    <mergeCell ref="A10:A11"/>
    <mergeCell ref="B10:C10"/>
    <mergeCell ref="A17:B17"/>
    <mergeCell ref="A25:C25"/>
    <mergeCell ref="A26:A27"/>
    <mergeCell ref="B26:C26"/>
    <mergeCell ref="A29:B29"/>
    <mergeCell ref="A31:C31"/>
    <mergeCell ref="B5:C5"/>
    <mergeCell ref="A1:D1"/>
    <mergeCell ref="E2:E3"/>
    <mergeCell ref="F2:F3"/>
    <mergeCell ref="A3:D3"/>
    <mergeCell ref="B4:C4"/>
  </mergeCells>
  <printOptions horizontalCentered="1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Normal="100" workbookViewId="0">
      <selection activeCell="A2" sqref="A2:K2"/>
    </sheetView>
  </sheetViews>
  <sheetFormatPr defaultColWidth="9.140625" defaultRowHeight="15"/>
  <cols>
    <col min="1" max="1" width="5" style="75" customWidth="1"/>
    <col min="2" max="2" width="19.42578125" style="76" customWidth="1"/>
    <col min="3" max="3" width="22.85546875" style="96" customWidth="1"/>
    <col min="4" max="11" width="12.140625" style="75" customWidth="1"/>
    <col min="12" max="16384" width="9.140625" style="75"/>
  </cols>
  <sheetData>
    <row r="1" spans="1:11" ht="50.25" customHeight="1">
      <c r="A1" s="308" t="s">
        <v>228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5" customHeight="1">
      <c r="A2" s="298" t="s">
        <v>108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20.25" customHeight="1">
      <c r="A3" s="294" t="s">
        <v>0</v>
      </c>
      <c r="B3" s="294" t="s">
        <v>109</v>
      </c>
      <c r="C3" s="294" t="s">
        <v>110</v>
      </c>
      <c r="D3" s="294" t="s">
        <v>111</v>
      </c>
      <c r="E3" s="294"/>
      <c r="F3" s="294"/>
      <c r="G3" s="294" t="s">
        <v>135</v>
      </c>
      <c r="H3" s="294"/>
      <c r="I3" s="294"/>
      <c r="J3" s="294"/>
      <c r="K3" s="294"/>
    </row>
    <row r="4" spans="1:11" ht="45">
      <c r="A4" s="294"/>
      <c r="B4" s="294"/>
      <c r="C4" s="294"/>
      <c r="D4" s="144" t="s">
        <v>88</v>
      </c>
      <c r="E4" s="144" t="s">
        <v>89</v>
      </c>
      <c r="F4" s="144" t="s">
        <v>79</v>
      </c>
      <c r="G4" s="144" t="s">
        <v>88</v>
      </c>
      <c r="H4" s="144" t="s">
        <v>89</v>
      </c>
      <c r="I4" s="144" t="s">
        <v>79</v>
      </c>
      <c r="J4" s="144" t="s">
        <v>134</v>
      </c>
      <c r="K4" s="144" t="s">
        <v>173</v>
      </c>
    </row>
    <row r="5" spans="1:11" ht="30" customHeight="1">
      <c r="A5" s="160">
        <v>1</v>
      </c>
      <c r="B5" s="91" t="s">
        <v>112</v>
      </c>
      <c r="C5" s="159" t="s">
        <v>113</v>
      </c>
      <c r="D5" s="158">
        <v>15066</v>
      </c>
      <c r="E5" s="158">
        <v>13062</v>
      </c>
      <c r="F5" s="158">
        <v>13282.003599999998</v>
      </c>
      <c r="G5" s="158">
        <v>30093</v>
      </c>
      <c r="H5" s="158"/>
      <c r="I5" s="158">
        <f>'Category Wise'!O36</f>
        <v>13171.016599999999</v>
      </c>
      <c r="J5" s="158">
        <f>G5-I5</f>
        <v>16921.983400000001</v>
      </c>
      <c r="K5" s="157">
        <f>I5/G5</f>
        <v>0.43767708769481273</v>
      </c>
    </row>
    <row r="6" spans="1:11" ht="30" customHeight="1">
      <c r="A6" s="160">
        <v>2</v>
      </c>
      <c r="B6" s="91" t="s">
        <v>114</v>
      </c>
      <c r="C6" s="159" t="s">
        <v>115</v>
      </c>
      <c r="D6" s="158">
        <v>5500</v>
      </c>
      <c r="E6" s="158">
        <v>4200</v>
      </c>
      <c r="F6" s="158">
        <v>4417.0012000000006</v>
      </c>
      <c r="G6" s="158">
        <v>6431</v>
      </c>
      <c r="H6" s="158"/>
      <c r="I6" s="158">
        <f>'Category Wise'!M36</f>
        <v>2175.5308</v>
      </c>
      <c r="J6" s="158">
        <f>G6-I6</f>
        <v>4255.4691999999995</v>
      </c>
      <c r="K6" s="157">
        <f t="shared" ref="K6:K8" si="0">I6/G6</f>
        <v>0.33828810449385788</v>
      </c>
    </row>
    <row r="7" spans="1:11" ht="30" customHeight="1">
      <c r="A7" s="160">
        <v>3</v>
      </c>
      <c r="B7" s="91" t="s">
        <v>116</v>
      </c>
      <c r="C7" s="159" t="s">
        <v>117</v>
      </c>
      <c r="D7" s="158">
        <v>2534</v>
      </c>
      <c r="E7" s="158">
        <v>2300</v>
      </c>
      <c r="F7" s="158">
        <v>2356.9967999999999</v>
      </c>
      <c r="G7" s="158">
        <v>3176</v>
      </c>
      <c r="H7" s="158"/>
      <c r="I7" s="158">
        <f>'Category Wise'!N36</f>
        <v>3176</v>
      </c>
      <c r="J7" s="158">
        <f>G7-I7</f>
        <v>0</v>
      </c>
      <c r="K7" s="157">
        <f t="shared" si="0"/>
        <v>1</v>
      </c>
    </row>
    <row r="8" spans="1:11" s="93" customFormat="1" ht="30" customHeight="1">
      <c r="A8" s="302" t="s">
        <v>118</v>
      </c>
      <c r="B8" s="303"/>
      <c r="C8" s="304"/>
      <c r="D8" s="92">
        <f t="shared" ref="D8:J8" si="1">SUM(D5:D7)</f>
        <v>23100</v>
      </c>
      <c r="E8" s="92">
        <f t="shared" si="1"/>
        <v>19562</v>
      </c>
      <c r="F8" s="92">
        <f t="shared" si="1"/>
        <v>20056.0016</v>
      </c>
      <c r="G8" s="92">
        <f t="shared" si="1"/>
        <v>39700</v>
      </c>
      <c r="H8" s="92">
        <f t="shared" si="1"/>
        <v>0</v>
      </c>
      <c r="I8" s="92">
        <f t="shared" si="1"/>
        <v>18522.547399999999</v>
      </c>
      <c r="J8" s="92">
        <f t="shared" si="1"/>
        <v>21177.452600000001</v>
      </c>
      <c r="K8" s="157">
        <f t="shared" si="0"/>
        <v>0.46656290680100754</v>
      </c>
    </row>
    <row r="9" spans="1:11" ht="30" customHeight="1">
      <c r="A9" s="160">
        <v>4</v>
      </c>
      <c r="B9" s="91" t="s">
        <v>119</v>
      </c>
      <c r="C9" s="159" t="s">
        <v>113</v>
      </c>
      <c r="D9" s="158">
        <v>2700</v>
      </c>
      <c r="E9" s="158">
        <v>1561</v>
      </c>
      <c r="F9" s="158">
        <v>1561</v>
      </c>
      <c r="G9" s="301" t="s">
        <v>159</v>
      </c>
      <c r="H9" s="301"/>
      <c r="I9" s="301"/>
      <c r="J9" s="301"/>
      <c r="K9" s="301"/>
    </row>
    <row r="10" spans="1:11" ht="30" customHeight="1">
      <c r="A10" s="160">
        <v>5</v>
      </c>
      <c r="B10" s="91" t="s">
        <v>120</v>
      </c>
      <c r="C10" s="159" t="s">
        <v>115</v>
      </c>
      <c r="D10" s="158">
        <v>600</v>
      </c>
      <c r="E10" s="158">
        <v>230</v>
      </c>
      <c r="F10" s="158">
        <v>230</v>
      </c>
      <c r="G10" s="301"/>
      <c r="H10" s="301"/>
      <c r="I10" s="301"/>
      <c r="J10" s="301"/>
      <c r="K10" s="301"/>
    </row>
    <row r="11" spans="1:11" ht="30" customHeight="1">
      <c r="A11" s="160">
        <v>6</v>
      </c>
      <c r="B11" s="91" t="s">
        <v>121</v>
      </c>
      <c r="C11" s="159" t="s">
        <v>117</v>
      </c>
      <c r="D11" s="158">
        <v>300</v>
      </c>
      <c r="E11" s="158">
        <v>300</v>
      </c>
      <c r="F11" s="158">
        <v>300</v>
      </c>
      <c r="G11" s="301"/>
      <c r="H11" s="301"/>
      <c r="I11" s="301"/>
      <c r="J11" s="301"/>
      <c r="K11" s="301"/>
    </row>
    <row r="12" spans="1:11" s="93" customFormat="1" ht="30" customHeight="1">
      <c r="A12" s="302" t="s">
        <v>122</v>
      </c>
      <c r="B12" s="303"/>
      <c r="C12" s="304"/>
      <c r="D12" s="92">
        <f>SUM(D9:D11)</f>
        <v>3600</v>
      </c>
      <c r="E12" s="92">
        <f>SUM(E9:E11)</f>
        <v>2091</v>
      </c>
      <c r="F12" s="92">
        <f>SUM(F9:F11)</f>
        <v>2091</v>
      </c>
      <c r="G12" s="301"/>
      <c r="H12" s="301"/>
      <c r="I12" s="301"/>
      <c r="J12" s="301"/>
      <c r="K12" s="301"/>
    </row>
    <row r="13" spans="1:11" ht="30" customHeight="1">
      <c r="A13" s="160">
        <v>7</v>
      </c>
      <c r="B13" s="91" t="s">
        <v>123</v>
      </c>
      <c r="C13" s="159" t="s">
        <v>124</v>
      </c>
      <c r="D13" s="158">
        <v>20</v>
      </c>
      <c r="E13" s="158">
        <v>0</v>
      </c>
      <c r="F13" s="158">
        <v>0</v>
      </c>
      <c r="G13" s="158">
        <v>5</v>
      </c>
      <c r="H13" s="158"/>
      <c r="I13" s="158"/>
      <c r="J13" s="158">
        <f t="shared" ref="J13:J19" si="2">G13-I13</f>
        <v>5</v>
      </c>
      <c r="K13" s="157">
        <f>I13/G13</f>
        <v>0</v>
      </c>
    </row>
    <row r="14" spans="1:11" ht="30" customHeight="1">
      <c r="A14" s="160">
        <v>8</v>
      </c>
      <c r="B14" s="91" t="s">
        <v>125</v>
      </c>
      <c r="C14" s="159" t="s">
        <v>35</v>
      </c>
      <c r="D14" s="158">
        <v>90</v>
      </c>
      <c r="E14" s="158">
        <v>60</v>
      </c>
      <c r="F14" s="158">
        <v>46</v>
      </c>
      <c r="G14" s="158">
        <v>60</v>
      </c>
      <c r="H14" s="158"/>
      <c r="I14" s="158">
        <f>ADC!P47</f>
        <v>24</v>
      </c>
      <c r="J14" s="158">
        <f t="shared" si="2"/>
        <v>36</v>
      </c>
      <c r="K14" s="157">
        <f t="shared" ref="K14:K21" si="3">I14/G14</f>
        <v>0.4</v>
      </c>
    </row>
    <row r="15" spans="1:11" ht="30" customHeight="1">
      <c r="A15" s="160">
        <v>9</v>
      </c>
      <c r="B15" s="91" t="s">
        <v>126</v>
      </c>
      <c r="C15" s="159" t="s">
        <v>127</v>
      </c>
      <c r="D15" s="158">
        <v>20</v>
      </c>
      <c r="E15" s="158">
        <v>18.5</v>
      </c>
      <c r="F15" s="158">
        <v>0</v>
      </c>
      <c r="G15" s="158">
        <v>10</v>
      </c>
      <c r="H15" s="158"/>
      <c r="I15" s="158"/>
      <c r="J15" s="158">
        <f t="shared" si="2"/>
        <v>10</v>
      </c>
      <c r="K15" s="157">
        <f t="shared" si="3"/>
        <v>0</v>
      </c>
    </row>
    <row r="16" spans="1:11" ht="30" customHeight="1">
      <c r="A16" s="160">
        <v>10</v>
      </c>
      <c r="B16" s="91" t="s">
        <v>128</v>
      </c>
      <c r="C16" s="159" t="s">
        <v>129</v>
      </c>
      <c r="D16" s="158">
        <v>8150</v>
      </c>
      <c r="E16" s="158">
        <v>5151.5</v>
      </c>
      <c r="F16" s="158">
        <v>8124.9062799999992</v>
      </c>
      <c r="G16" s="158">
        <v>9920</v>
      </c>
      <c r="H16" s="158"/>
      <c r="I16" s="158">
        <f>ADC!P72-I14</f>
        <v>8334.1840699999993</v>
      </c>
      <c r="J16" s="158">
        <f t="shared" si="2"/>
        <v>1585.8159300000007</v>
      </c>
      <c r="K16" s="157">
        <f t="shared" si="3"/>
        <v>0.84013952318548379</v>
      </c>
    </row>
    <row r="17" spans="1:11" ht="30" customHeight="1">
      <c r="A17" s="160">
        <v>11</v>
      </c>
      <c r="B17" s="91" t="s">
        <v>130</v>
      </c>
      <c r="C17" s="159" t="s">
        <v>36</v>
      </c>
      <c r="D17" s="158">
        <v>20</v>
      </c>
      <c r="E17" s="158">
        <v>20</v>
      </c>
      <c r="F17" s="158">
        <v>0</v>
      </c>
      <c r="G17" s="158">
        <v>5</v>
      </c>
      <c r="H17" s="158"/>
      <c r="I17" s="158"/>
      <c r="J17" s="158">
        <f t="shared" si="2"/>
        <v>5</v>
      </c>
      <c r="K17" s="157">
        <f t="shared" si="3"/>
        <v>0</v>
      </c>
    </row>
    <row r="18" spans="1:11" s="93" customFormat="1" ht="30" customHeight="1">
      <c r="A18" s="302" t="s">
        <v>133</v>
      </c>
      <c r="B18" s="303"/>
      <c r="C18" s="304"/>
      <c r="D18" s="92">
        <f>SUM(D13:D17)</f>
        <v>8300</v>
      </c>
      <c r="E18" s="92">
        <f t="shared" ref="E18:I18" si="4">SUM(E13:E17)</f>
        <v>5250</v>
      </c>
      <c r="F18" s="92">
        <f t="shared" si="4"/>
        <v>8170.9062799999992</v>
      </c>
      <c r="G18" s="92">
        <f t="shared" si="4"/>
        <v>10000</v>
      </c>
      <c r="H18" s="92">
        <f t="shared" si="4"/>
        <v>0</v>
      </c>
      <c r="I18" s="92">
        <f t="shared" si="4"/>
        <v>8358.1840699999993</v>
      </c>
      <c r="J18" s="92">
        <f>SUM(J13:J17)</f>
        <v>1641.8159300000007</v>
      </c>
      <c r="K18" s="157">
        <f t="shared" si="3"/>
        <v>0.83581840699999999</v>
      </c>
    </row>
    <row r="19" spans="1:11" ht="30" customHeight="1">
      <c r="A19" s="160">
        <v>12</v>
      </c>
      <c r="B19" s="91" t="s">
        <v>131</v>
      </c>
      <c r="C19" s="159" t="s">
        <v>132</v>
      </c>
      <c r="D19" s="158">
        <v>300</v>
      </c>
      <c r="E19" s="158">
        <v>300</v>
      </c>
      <c r="F19" s="158">
        <v>262.99</v>
      </c>
      <c r="G19" s="158">
        <v>300</v>
      </c>
      <c r="H19" s="158"/>
      <c r="I19" s="158">
        <f>ADC!P75</f>
        <v>60</v>
      </c>
      <c r="J19" s="158">
        <f t="shared" si="2"/>
        <v>240</v>
      </c>
      <c r="K19" s="157">
        <f t="shared" si="3"/>
        <v>0.2</v>
      </c>
    </row>
    <row r="20" spans="1:11" s="93" customFormat="1" ht="30" customHeight="1">
      <c r="A20" s="302" t="s">
        <v>162</v>
      </c>
      <c r="B20" s="303"/>
      <c r="C20" s="304"/>
      <c r="D20" s="92">
        <f>D18+D19</f>
        <v>8600</v>
      </c>
      <c r="E20" s="92">
        <f t="shared" ref="E20:J20" si="5">E18+E19</f>
        <v>5550</v>
      </c>
      <c r="F20" s="92">
        <f t="shared" si="5"/>
        <v>8433.896279999999</v>
      </c>
      <c r="G20" s="92">
        <f t="shared" si="5"/>
        <v>10300</v>
      </c>
      <c r="H20" s="92">
        <f t="shared" si="5"/>
        <v>0</v>
      </c>
      <c r="I20" s="92">
        <f t="shared" si="5"/>
        <v>8418.1840699999993</v>
      </c>
      <c r="J20" s="92">
        <f t="shared" si="5"/>
        <v>1881.8159300000007</v>
      </c>
      <c r="K20" s="157">
        <f t="shared" si="3"/>
        <v>0.81729942427184454</v>
      </c>
    </row>
    <row r="21" spans="1:11" s="95" customFormat="1" ht="30" customHeight="1">
      <c r="A21" s="305" t="s">
        <v>97</v>
      </c>
      <c r="B21" s="306"/>
      <c r="C21" s="307"/>
      <c r="D21" s="94">
        <f t="shared" ref="D21:J21" si="6">D8+D12+D20</f>
        <v>35300</v>
      </c>
      <c r="E21" s="94">
        <f t="shared" si="6"/>
        <v>27203</v>
      </c>
      <c r="F21" s="94">
        <f t="shared" si="6"/>
        <v>30580.897879999997</v>
      </c>
      <c r="G21" s="94">
        <f t="shared" si="6"/>
        <v>50000</v>
      </c>
      <c r="H21" s="94">
        <f t="shared" si="6"/>
        <v>0</v>
      </c>
      <c r="I21" s="94">
        <f t="shared" si="6"/>
        <v>26940.731469999999</v>
      </c>
      <c r="J21" s="94">
        <f t="shared" si="6"/>
        <v>23059.268530000001</v>
      </c>
      <c r="K21" s="157">
        <f t="shared" si="3"/>
        <v>0.53881462940000002</v>
      </c>
    </row>
  </sheetData>
  <mergeCells count="13">
    <mergeCell ref="A3:A4"/>
    <mergeCell ref="B3:B4"/>
    <mergeCell ref="C3:C4"/>
    <mergeCell ref="D3:F3"/>
    <mergeCell ref="A1:K1"/>
    <mergeCell ref="A2:K2"/>
    <mergeCell ref="G3:K3"/>
    <mergeCell ref="G9:K12"/>
    <mergeCell ref="A8:C8"/>
    <mergeCell ref="A12:C12"/>
    <mergeCell ref="A20:C20"/>
    <mergeCell ref="A21:C21"/>
    <mergeCell ref="A18:C18"/>
  </mergeCells>
  <printOptions horizontalCentered="1"/>
  <pageMargins left="0.5" right="0.25" top="0.5" bottom="0.5" header="0.5" footer="0.5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80" zoomScaleNormal="80" workbookViewId="0">
      <selection activeCell="I52" sqref="I52"/>
    </sheetView>
  </sheetViews>
  <sheetFormatPr defaultColWidth="9.140625" defaultRowHeight="15.75"/>
  <cols>
    <col min="1" max="1" width="5" style="9" customWidth="1"/>
    <col min="2" max="2" width="43.28515625" style="6" customWidth="1"/>
    <col min="3" max="5" width="12.7109375" style="6" customWidth="1"/>
    <col min="6" max="6" width="15.7109375" style="6" customWidth="1"/>
    <col min="7" max="7" width="12.7109375" style="9" customWidth="1"/>
    <col min="8" max="10" width="12.7109375" style="6" customWidth="1"/>
    <col min="11" max="11" width="15.7109375" style="6" customWidth="1"/>
    <col min="12" max="12" width="12.7109375" style="9" customWidth="1"/>
    <col min="13" max="15" width="12.7109375" style="6" customWidth="1"/>
    <col min="16" max="16" width="16.42578125" style="6" customWidth="1"/>
    <col min="17" max="16384" width="9.140625" style="6"/>
  </cols>
  <sheetData>
    <row r="1" spans="1:16" ht="34.5" customHeight="1">
      <c r="A1" s="266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>
      <c r="A2" s="309" t="s">
        <v>37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s="7" customFormat="1" ht="18.75" customHeight="1">
      <c r="A3" s="288" t="s">
        <v>0</v>
      </c>
      <c r="B3" s="288" t="s">
        <v>34</v>
      </c>
      <c r="C3" s="310" t="s">
        <v>136</v>
      </c>
      <c r="D3" s="310"/>
      <c r="E3" s="310"/>
      <c r="F3" s="310"/>
      <c r="G3" s="310"/>
      <c r="H3" s="310" t="s">
        <v>137</v>
      </c>
      <c r="I3" s="310"/>
      <c r="J3" s="310"/>
      <c r="K3" s="310"/>
      <c r="L3" s="310"/>
      <c r="M3" s="271" t="s">
        <v>94</v>
      </c>
      <c r="N3" s="271"/>
      <c r="O3" s="271"/>
      <c r="P3" s="141" t="s">
        <v>94</v>
      </c>
    </row>
    <row r="4" spans="1:16" s="7" customFormat="1" ht="34.5" customHeight="1">
      <c r="A4" s="288"/>
      <c r="B4" s="288"/>
      <c r="C4" s="142" t="s">
        <v>115</v>
      </c>
      <c r="D4" s="142" t="s">
        <v>117</v>
      </c>
      <c r="E4" s="142" t="s">
        <v>113</v>
      </c>
      <c r="F4" s="161" t="s">
        <v>94</v>
      </c>
      <c r="G4" s="146" t="s">
        <v>164</v>
      </c>
      <c r="H4" s="142" t="s">
        <v>115</v>
      </c>
      <c r="I4" s="142" t="s">
        <v>117</v>
      </c>
      <c r="J4" s="142" t="s">
        <v>113</v>
      </c>
      <c r="K4" s="161" t="s">
        <v>94</v>
      </c>
      <c r="L4" s="146" t="s">
        <v>164</v>
      </c>
      <c r="M4" s="105" t="s">
        <v>115</v>
      </c>
      <c r="N4" s="105" t="s">
        <v>117</v>
      </c>
      <c r="O4" s="141" t="s">
        <v>113</v>
      </c>
      <c r="P4" s="143" t="s">
        <v>79</v>
      </c>
    </row>
    <row r="5" spans="1:16" s="7" customFormat="1" ht="24" customHeight="1">
      <c r="A5" s="1"/>
      <c r="B5" s="29" t="s">
        <v>60</v>
      </c>
      <c r="C5" s="154">
        <v>1</v>
      </c>
      <c r="D5" s="154">
        <v>2</v>
      </c>
      <c r="E5" s="154">
        <v>3</v>
      </c>
      <c r="F5" s="154">
        <v>4</v>
      </c>
      <c r="G5" s="155">
        <v>5</v>
      </c>
      <c r="H5" s="154">
        <v>6</v>
      </c>
      <c r="I5" s="154">
        <v>7</v>
      </c>
      <c r="J5" s="154">
        <v>8</v>
      </c>
      <c r="K5" s="154">
        <v>9</v>
      </c>
      <c r="L5" s="155">
        <v>10</v>
      </c>
      <c r="M5" s="154" t="s">
        <v>182</v>
      </c>
      <c r="N5" s="154" t="s">
        <v>183</v>
      </c>
      <c r="O5" s="154" t="s">
        <v>184</v>
      </c>
      <c r="P5" s="154" t="s">
        <v>185</v>
      </c>
    </row>
    <row r="6" spans="1:16" ht="24" customHeight="1">
      <c r="A6" s="3">
        <v>1</v>
      </c>
      <c r="B6" s="4" t="s">
        <v>1</v>
      </c>
      <c r="C6" s="5">
        <f>150.0257+64.954</f>
        <v>214.97969999999998</v>
      </c>
      <c r="D6" s="5">
        <f>49.9869+41.7609</f>
        <v>91.747799999999998</v>
      </c>
      <c r="E6" s="5">
        <f>450.0121+554.0584</f>
        <v>1004.0705</v>
      </c>
      <c r="F6" s="5">
        <f>SUM(C6:E6)</f>
        <v>1310.798</v>
      </c>
      <c r="G6" s="147" t="s">
        <v>165</v>
      </c>
      <c r="H6" s="5">
        <v>302.95999999999998</v>
      </c>
      <c r="I6" s="5"/>
      <c r="J6" s="5">
        <v>1468.7550000000001</v>
      </c>
      <c r="K6" s="5">
        <f>SUM(H6:J6)</f>
        <v>1771.7150000000001</v>
      </c>
      <c r="L6" s="147"/>
      <c r="M6" s="5">
        <f>C6+H6</f>
        <v>517.9396999999999</v>
      </c>
      <c r="N6" s="5">
        <f>D6+I6</f>
        <v>91.747799999999998</v>
      </c>
      <c r="O6" s="5">
        <f>E6+J6</f>
        <v>2472.8254999999999</v>
      </c>
      <c r="P6" s="5">
        <f>M6+N6+O6</f>
        <v>3082.5129999999999</v>
      </c>
    </row>
    <row r="7" spans="1:16" ht="24" customHeight="1">
      <c r="A7" s="3">
        <v>2</v>
      </c>
      <c r="B7" s="4" t="s">
        <v>2</v>
      </c>
      <c r="C7" s="140"/>
      <c r="D7" s="5"/>
      <c r="E7" s="5"/>
      <c r="F7" s="5">
        <f t="shared" ref="F7:F24" si="0">SUM(C7:E7)</f>
        <v>0</v>
      </c>
      <c r="G7" s="147"/>
      <c r="H7" s="140"/>
      <c r="I7" s="5"/>
      <c r="J7" s="5"/>
      <c r="K7" s="5">
        <f t="shared" ref="K7:K34" si="1">SUM(H7:J7)</f>
        <v>0</v>
      </c>
      <c r="L7" s="147"/>
      <c r="M7" s="5">
        <f t="shared" ref="M7:M24" si="2">C7+H7</f>
        <v>0</v>
      </c>
      <c r="N7" s="5">
        <f t="shared" ref="N7:N24" si="3">D7+I7</f>
        <v>0</v>
      </c>
      <c r="O7" s="5">
        <f t="shared" ref="O7:O24" si="4">E7+J7</f>
        <v>0</v>
      </c>
      <c r="P7" s="5">
        <f t="shared" ref="P7:P34" si="5">M7+N7+O7</f>
        <v>0</v>
      </c>
    </row>
    <row r="8" spans="1:16" ht="24" customHeight="1">
      <c r="A8" s="3">
        <v>3</v>
      </c>
      <c r="B8" s="4" t="s">
        <v>3</v>
      </c>
      <c r="C8" s="5">
        <f>21.504+29.696</f>
        <v>51.2</v>
      </c>
      <c r="D8" s="5">
        <f>51.408+70.992</f>
        <v>122.4</v>
      </c>
      <c r="E8" s="5">
        <f>95.088+131.312</f>
        <v>226.4</v>
      </c>
      <c r="F8" s="5">
        <f t="shared" si="0"/>
        <v>400</v>
      </c>
      <c r="G8" s="147" t="s">
        <v>165</v>
      </c>
      <c r="H8" s="5"/>
      <c r="I8" s="5"/>
      <c r="J8" s="5"/>
      <c r="K8" s="5">
        <f t="shared" si="1"/>
        <v>0</v>
      </c>
      <c r="L8" s="147"/>
      <c r="M8" s="5">
        <f t="shared" si="2"/>
        <v>51.2</v>
      </c>
      <c r="N8" s="5">
        <f t="shared" si="3"/>
        <v>122.4</v>
      </c>
      <c r="O8" s="5">
        <f t="shared" si="4"/>
        <v>226.4</v>
      </c>
      <c r="P8" s="5">
        <f t="shared" si="5"/>
        <v>400</v>
      </c>
    </row>
    <row r="9" spans="1:16" ht="24" customHeight="1">
      <c r="A9" s="3">
        <v>4</v>
      </c>
      <c r="B9" s="4" t="s">
        <v>4</v>
      </c>
      <c r="C9" s="5"/>
      <c r="D9" s="5"/>
      <c r="E9" s="5">
        <v>2333.9297999999999</v>
      </c>
      <c r="F9" s="5">
        <f t="shared" si="0"/>
        <v>2333.9297999999999</v>
      </c>
      <c r="G9" s="147" t="s">
        <v>196</v>
      </c>
      <c r="H9" s="5"/>
      <c r="I9" s="5"/>
      <c r="J9" s="5"/>
      <c r="K9" s="5">
        <f t="shared" si="1"/>
        <v>0</v>
      </c>
      <c r="L9" s="147"/>
      <c r="M9" s="5">
        <f t="shared" si="2"/>
        <v>0</v>
      </c>
      <c r="N9" s="5">
        <f t="shared" si="3"/>
        <v>0</v>
      </c>
      <c r="O9" s="5">
        <f t="shared" si="4"/>
        <v>2333.9297999999999</v>
      </c>
      <c r="P9" s="5">
        <f t="shared" si="5"/>
        <v>2333.9297999999999</v>
      </c>
    </row>
    <row r="10" spans="1:16" ht="24" customHeight="1">
      <c r="A10" s="3">
        <v>5</v>
      </c>
      <c r="B10" s="4" t="s">
        <v>5</v>
      </c>
      <c r="C10" s="5"/>
      <c r="D10" s="5"/>
      <c r="E10" s="5"/>
      <c r="F10" s="5">
        <f t="shared" si="0"/>
        <v>0</v>
      </c>
      <c r="G10" s="147"/>
      <c r="H10" s="5"/>
      <c r="I10" s="5"/>
      <c r="J10" s="5"/>
      <c r="K10" s="5">
        <f t="shared" si="1"/>
        <v>0</v>
      </c>
      <c r="L10" s="147"/>
      <c r="M10" s="5">
        <f t="shared" si="2"/>
        <v>0</v>
      </c>
      <c r="N10" s="5">
        <f t="shared" si="3"/>
        <v>0</v>
      </c>
      <c r="O10" s="5">
        <f t="shared" si="4"/>
        <v>0</v>
      </c>
      <c r="P10" s="5">
        <f t="shared" si="5"/>
        <v>0</v>
      </c>
    </row>
    <row r="11" spans="1:16" ht="24" customHeight="1">
      <c r="A11" s="3">
        <v>6</v>
      </c>
      <c r="B11" s="4" t="s">
        <v>6</v>
      </c>
      <c r="C11" s="5"/>
      <c r="D11" s="5"/>
      <c r="E11" s="5"/>
      <c r="F11" s="5">
        <f t="shared" si="0"/>
        <v>0</v>
      </c>
      <c r="G11" s="147"/>
      <c r="H11" s="5"/>
      <c r="I11" s="5"/>
      <c r="J11" s="5"/>
      <c r="K11" s="5">
        <f t="shared" si="1"/>
        <v>0</v>
      </c>
      <c r="L11" s="147"/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</row>
    <row r="12" spans="1:16" ht="24" customHeight="1">
      <c r="A12" s="3">
        <v>7</v>
      </c>
      <c r="B12" s="4" t="s">
        <v>7</v>
      </c>
      <c r="C12" s="5">
        <v>15.36</v>
      </c>
      <c r="D12" s="5">
        <v>33.29</v>
      </c>
      <c r="E12" s="5">
        <v>78.349999999999994</v>
      </c>
      <c r="F12" s="5">
        <f t="shared" si="0"/>
        <v>127</v>
      </c>
      <c r="G12" s="147" t="s">
        <v>167</v>
      </c>
      <c r="H12" s="5"/>
      <c r="I12" s="5"/>
      <c r="J12" s="5"/>
      <c r="K12" s="5">
        <f t="shared" si="1"/>
        <v>0</v>
      </c>
      <c r="L12" s="147"/>
      <c r="M12" s="5">
        <f t="shared" si="2"/>
        <v>15.36</v>
      </c>
      <c r="N12" s="5">
        <f t="shared" si="3"/>
        <v>33.29</v>
      </c>
      <c r="O12" s="5">
        <f t="shared" si="4"/>
        <v>78.349999999999994</v>
      </c>
      <c r="P12" s="5">
        <f t="shared" si="5"/>
        <v>127</v>
      </c>
    </row>
    <row r="13" spans="1:16" ht="24" customHeight="1">
      <c r="A13" s="3">
        <v>8</v>
      </c>
      <c r="B13" s="4" t="s">
        <v>8</v>
      </c>
      <c r="C13" s="5">
        <v>181.37139999999999</v>
      </c>
      <c r="D13" s="5">
        <v>74.390600000000006</v>
      </c>
      <c r="E13" s="5">
        <v>800.23800000000006</v>
      </c>
      <c r="F13" s="5">
        <f t="shared" si="0"/>
        <v>1056</v>
      </c>
      <c r="G13" s="147" t="s">
        <v>168</v>
      </c>
      <c r="H13" s="5">
        <v>85.45</v>
      </c>
      <c r="I13" s="5">
        <v>34.82</v>
      </c>
      <c r="J13" s="5">
        <v>407.2</v>
      </c>
      <c r="K13" s="5">
        <f t="shared" si="1"/>
        <v>527.47</v>
      </c>
      <c r="L13" s="147" t="s">
        <v>216</v>
      </c>
      <c r="M13" s="5">
        <f t="shared" si="2"/>
        <v>266.82139999999998</v>
      </c>
      <c r="N13" s="5">
        <f t="shared" si="3"/>
        <v>109.2106</v>
      </c>
      <c r="O13" s="5">
        <f t="shared" si="4"/>
        <v>1207.4380000000001</v>
      </c>
      <c r="P13" s="5">
        <f t="shared" si="5"/>
        <v>1583.47</v>
      </c>
    </row>
    <row r="14" spans="1:16" ht="24" customHeight="1">
      <c r="A14" s="3">
        <v>9</v>
      </c>
      <c r="B14" s="4" t="s">
        <v>9</v>
      </c>
      <c r="C14" s="5"/>
      <c r="D14" s="5"/>
      <c r="E14" s="5"/>
      <c r="F14" s="5">
        <f t="shared" si="0"/>
        <v>0</v>
      </c>
      <c r="G14" s="147"/>
      <c r="H14" s="5"/>
      <c r="I14" s="5"/>
      <c r="J14" s="5"/>
      <c r="K14" s="5">
        <f t="shared" si="1"/>
        <v>0</v>
      </c>
      <c r="L14" s="147"/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</row>
    <row r="15" spans="1:16" ht="24" customHeight="1">
      <c r="A15" s="3">
        <v>10</v>
      </c>
      <c r="B15" s="4" t="s">
        <v>10</v>
      </c>
      <c r="C15" s="5">
        <v>402.12</v>
      </c>
      <c r="D15" s="5">
        <v>513.9</v>
      </c>
      <c r="E15" s="5">
        <v>1661.67</v>
      </c>
      <c r="F15" s="5">
        <f t="shared" si="0"/>
        <v>2577.69</v>
      </c>
      <c r="G15" s="147" t="s">
        <v>165</v>
      </c>
      <c r="H15" s="5"/>
      <c r="I15" s="5"/>
      <c r="J15" s="5"/>
      <c r="K15" s="5">
        <f t="shared" si="1"/>
        <v>0</v>
      </c>
      <c r="L15" s="147"/>
      <c r="M15" s="5">
        <f t="shared" si="2"/>
        <v>402.12</v>
      </c>
      <c r="N15" s="5">
        <f t="shared" si="3"/>
        <v>513.9</v>
      </c>
      <c r="O15" s="5">
        <f t="shared" si="4"/>
        <v>1661.67</v>
      </c>
      <c r="P15" s="5">
        <f t="shared" si="5"/>
        <v>2577.69</v>
      </c>
    </row>
    <row r="16" spans="1:16" ht="24" customHeight="1">
      <c r="A16" s="3">
        <v>11</v>
      </c>
      <c r="B16" s="4" t="s">
        <v>11</v>
      </c>
      <c r="C16" s="5">
        <v>350.10500000000002</v>
      </c>
      <c r="D16" s="5">
        <v>278.89999999999998</v>
      </c>
      <c r="E16" s="5">
        <v>2338</v>
      </c>
      <c r="F16" s="5">
        <f t="shared" si="0"/>
        <v>2967.0050000000001</v>
      </c>
      <c r="G16" s="147" t="s">
        <v>169</v>
      </c>
      <c r="H16" s="5"/>
      <c r="I16" s="5"/>
      <c r="J16" s="5"/>
      <c r="K16" s="5">
        <f t="shared" si="1"/>
        <v>0</v>
      </c>
      <c r="L16" s="147"/>
      <c r="M16" s="5">
        <f t="shared" si="2"/>
        <v>350.10500000000002</v>
      </c>
      <c r="N16" s="5">
        <f t="shared" si="3"/>
        <v>278.89999999999998</v>
      </c>
      <c r="O16" s="5">
        <f t="shared" si="4"/>
        <v>2338</v>
      </c>
      <c r="P16" s="5">
        <f t="shared" si="5"/>
        <v>2967.0050000000001</v>
      </c>
    </row>
    <row r="17" spans="1:16" ht="24" customHeight="1">
      <c r="A17" s="3">
        <v>12</v>
      </c>
      <c r="B17" s="4" t="s">
        <v>12</v>
      </c>
      <c r="C17" s="5">
        <v>74.569999999999993</v>
      </c>
      <c r="D17" s="5">
        <v>23.500399999999999</v>
      </c>
      <c r="E17" s="5">
        <v>353.89620000000002</v>
      </c>
      <c r="F17" s="5">
        <f t="shared" si="0"/>
        <v>451.96660000000003</v>
      </c>
      <c r="G17" s="147" t="s">
        <v>220</v>
      </c>
      <c r="H17" s="5"/>
      <c r="I17" s="5"/>
      <c r="J17" s="5"/>
      <c r="K17" s="5">
        <f t="shared" si="1"/>
        <v>0</v>
      </c>
      <c r="L17" s="147"/>
      <c r="M17" s="5">
        <f t="shared" si="2"/>
        <v>74.569999999999993</v>
      </c>
      <c r="N17" s="5">
        <f t="shared" si="3"/>
        <v>23.500399999999999</v>
      </c>
      <c r="O17" s="5">
        <f t="shared" si="4"/>
        <v>353.89620000000002</v>
      </c>
      <c r="P17" s="5">
        <f t="shared" si="5"/>
        <v>451.96660000000003</v>
      </c>
    </row>
    <row r="18" spans="1:16" ht="24" customHeight="1">
      <c r="A18" s="3">
        <v>13</v>
      </c>
      <c r="B18" s="4" t="s">
        <v>13</v>
      </c>
      <c r="C18" s="5"/>
      <c r="D18" s="5"/>
      <c r="E18" s="5"/>
      <c r="F18" s="5">
        <f t="shared" si="0"/>
        <v>0</v>
      </c>
      <c r="G18" s="147"/>
      <c r="H18" s="5"/>
      <c r="I18" s="5"/>
      <c r="J18" s="5"/>
      <c r="K18" s="5">
        <f t="shared" si="1"/>
        <v>0</v>
      </c>
      <c r="L18" s="147"/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</row>
    <row r="19" spans="1:16" ht="24" customHeight="1">
      <c r="A19" s="3">
        <v>14</v>
      </c>
      <c r="B19" s="4" t="s">
        <v>14</v>
      </c>
      <c r="C19" s="5">
        <v>267</v>
      </c>
      <c r="D19" s="5">
        <v>202</v>
      </c>
      <c r="E19" s="5">
        <v>1031</v>
      </c>
      <c r="F19" s="5">
        <f t="shared" si="0"/>
        <v>1500</v>
      </c>
      <c r="G19" s="147" t="s">
        <v>170</v>
      </c>
      <c r="H19" s="5"/>
      <c r="I19" s="5"/>
      <c r="J19" s="5"/>
      <c r="K19" s="5">
        <f t="shared" si="1"/>
        <v>0</v>
      </c>
      <c r="L19" s="147"/>
      <c r="M19" s="5">
        <f t="shared" si="2"/>
        <v>267</v>
      </c>
      <c r="N19" s="5">
        <f t="shared" si="3"/>
        <v>202</v>
      </c>
      <c r="O19" s="5">
        <f t="shared" si="4"/>
        <v>1031</v>
      </c>
      <c r="P19" s="5">
        <f t="shared" si="5"/>
        <v>1500</v>
      </c>
    </row>
    <row r="20" spans="1:16" ht="24" customHeight="1">
      <c r="A20" s="3">
        <v>15</v>
      </c>
      <c r="B20" s="4" t="s">
        <v>15</v>
      </c>
      <c r="C20" s="5">
        <v>90.084699999999998</v>
      </c>
      <c r="D20" s="5">
        <v>4.9546999999999999</v>
      </c>
      <c r="E20" s="5">
        <v>355.38409999999999</v>
      </c>
      <c r="F20" s="5">
        <f t="shared" si="0"/>
        <v>450.42349999999999</v>
      </c>
      <c r="G20" s="147" t="s">
        <v>171</v>
      </c>
      <c r="H20" s="5"/>
      <c r="I20" s="5"/>
      <c r="J20" s="5"/>
      <c r="K20" s="5">
        <f t="shared" si="1"/>
        <v>0</v>
      </c>
      <c r="L20" s="147"/>
      <c r="M20" s="5">
        <f t="shared" si="2"/>
        <v>90.084699999999998</v>
      </c>
      <c r="N20" s="5">
        <f t="shared" si="3"/>
        <v>4.9546999999999999</v>
      </c>
      <c r="O20" s="5">
        <f t="shared" si="4"/>
        <v>355.38409999999999</v>
      </c>
      <c r="P20" s="5">
        <f t="shared" si="5"/>
        <v>450.42349999999999</v>
      </c>
    </row>
    <row r="21" spans="1:16" ht="24" customHeight="1">
      <c r="A21" s="3">
        <v>16</v>
      </c>
      <c r="B21" s="4" t="s">
        <v>16</v>
      </c>
      <c r="C21" s="5"/>
      <c r="D21" s="5"/>
      <c r="E21" s="5"/>
      <c r="F21" s="5">
        <f t="shared" si="0"/>
        <v>0</v>
      </c>
      <c r="G21" s="147"/>
      <c r="H21" s="5"/>
      <c r="I21" s="5"/>
      <c r="J21" s="5"/>
      <c r="K21" s="5">
        <f t="shared" si="1"/>
        <v>0</v>
      </c>
      <c r="L21" s="147"/>
      <c r="M21" s="5">
        <f t="shared" si="2"/>
        <v>0</v>
      </c>
      <c r="N21" s="5">
        <f t="shared" si="3"/>
        <v>0</v>
      </c>
      <c r="O21" s="5">
        <f t="shared" si="4"/>
        <v>0</v>
      </c>
      <c r="P21" s="5">
        <f t="shared" si="5"/>
        <v>0</v>
      </c>
    </row>
    <row r="22" spans="1:16" ht="24" customHeight="1">
      <c r="A22" s="3">
        <v>17</v>
      </c>
      <c r="B22" s="4" t="s">
        <v>17</v>
      </c>
      <c r="C22" s="5"/>
      <c r="D22" s="5"/>
      <c r="E22" s="5">
        <v>415.12</v>
      </c>
      <c r="F22" s="5">
        <f t="shared" si="0"/>
        <v>415.12</v>
      </c>
      <c r="G22" s="147" t="s">
        <v>218</v>
      </c>
      <c r="H22" s="5"/>
      <c r="I22" s="5"/>
      <c r="J22" s="5"/>
      <c r="K22" s="5">
        <f t="shared" si="1"/>
        <v>0</v>
      </c>
      <c r="L22" s="147"/>
      <c r="M22" s="5">
        <f t="shared" si="2"/>
        <v>0</v>
      </c>
      <c r="N22" s="5">
        <f t="shared" si="3"/>
        <v>0</v>
      </c>
      <c r="O22" s="5">
        <f t="shared" si="4"/>
        <v>415.12</v>
      </c>
      <c r="P22" s="5">
        <f t="shared" si="5"/>
        <v>415.12</v>
      </c>
    </row>
    <row r="23" spans="1:16" ht="24" customHeight="1">
      <c r="A23" s="3">
        <v>18</v>
      </c>
      <c r="B23" s="4" t="s">
        <v>19</v>
      </c>
      <c r="C23" s="5">
        <v>9.66</v>
      </c>
      <c r="D23" s="5">
        <v>1.49</v>
      </c>
      <c r="E23" s="5">
        <v>40.22</v>
      </c>
      <c r="F23" s="5">
        <f t="shared" si="0"/>
        <v>51.37</v>
      </c>
      <c r="G23" s="147" t="s">
        <v>167</v>
      </c>
      <c r="H23" s="5"/>
      <c r="I23" s="5"/>
      <c r="J23" s="5"/>
      <c r="K23" s="5">
        <f t="shared" si="1"/>
        <v>0</v>
      </c>
      <c r="L23" s="147"/>
      <c r="M23" s="5">
        <f t="shared" si="2"/>
        <v>9.66</v>
      </c>
      <c r="N23" s="5">
        <f t="shared" si="3"/>
        <v>1.49</v>
      </c>
      <c r="O23" s="5">
        <f t="shared" si="4"/>
        <v>40.22</v>
      </c>
      <c r="P23" s="5">
        <f t="shared" si="5"/>
        <v>51.37</v>
      </c>
    </row>
    <row r="24" spans="1:16" ht="24" customHeight="1">
      <c r="A24" s="3">
        <v>19</v>
      </c>
      <c r="B24" s="4" t="s">
        <v>18</v>
      </c>
      <c r="C24" s="5">
        <v>95</v>
      </c>
      <c r="D24" s="5">
        <v>25</v>
      </c>
      <c r="E24" s="5">
        <v>280</v>
      </c>
      <c r="F24" s="5">
        <f t="shared" si="0"/>
        <v>400</v>
      </c>
      <c r="G24" s="147" t="s">
        <v>170</v>
      </c>
      <c r="H24" s="5">
        <v>22.99</v>
      </c>
      <c r="I24" s="5">
        <v>5.51</v>
      </c>
      <c r="J24" s="5">
        <v>71.5</v>
      </c>
      <c r="K24" s="5">
        <f t="shared" si="1"/>
        <v>100</v>
      </c>
      <c r="L24" s="147" t="s">
        <v>216</v>
      </c>
      <c r="M24" s="5">
        <f t="shared" si="2"/>
        <v>117.99</v>
      </c>
      <c r="N24" s="5">
        <f t="shared" si="3"/>
        <v>30.509999999999998</v>
      </c>
      <c r="O24" s="5">
        <f t="shared" si="4"/>
        <v>351.5</v>
      </c>
      <c r="P24" s="5">
        <f t="shared" si="5"/>
        <v>500</v>
      </c>
    </row>
    <row r="25" spans="1:16" s="23" customFormat="1" ht="24" customHeight="1">
      <c r="A25" s="20" t="s">
        <v>20</v>
      </c>
      <c r="B25" s="24" t="s">
        <v>57</v>
      </c>
      <c r="C25" s="22">
        <f>SUM(C6:C24)</f>
        <v>1751.4507999999998</v>
      </c>
      <c r="D25" s="22">
        <f>SUM(D6:D24)</f>
        <v>1371.5735</v>
      </c>
      <c r="E25" s="22">
        <f t="shared" ref="E25:P25" si="6">SUM(E6:E24)</f>
        <v>10918.278599999998</v>
      </c>
      <c r="F25" s="22">
        <f t="shared" si="6"/>
        <v>14041.302900000002</v>
      </c>
      <c r="G25" s="148"/>
      <c r="H25" s="22">
        <f>SUM(H6:H24)</f>
        <v>411.4</v>
      </c>
      <c r="I25" s="22">
        <f>SUM(I6:I24)</f>
        <v>40.33</v>
      </c>
      <c r="J25" s="22">
        <f t="shared" ref="J25:K25" si="7">SUM(J6:J24)</f>
        <v>1947.4550000000002</v>
      </c>
      <c r="K25" s="22">
        <f t="shared" si="7"/>
        <v>2399.1850000000004</v>
      </c>
      <c r="L25" s="148"/>
      <c r="M25" s="22">
        <f t="shared" si="6"/>
        <v>2162.8508000000002</v>
      </c>
      <c r="N25" s="22">
        <f t="shared" si="6"/>
        <v>1411.9034999999999</v>
      </c>
      <c r="O25" s="22">
        <f t="shared" si="6"/>
        <v>12865.7336</v>
      </c>
      <c r="P25" s="22">
        <f t="shared" si="6"/>
        <v>16440.487900000004</v>
      </c>
    </row>
    <row r="26" spans="1:16" s="7" customFormat="1" ht="24" customHeight="1">
      <c r="A26" s="1"/>
      <c r="B26" s="29" t="s">
        <v>59</v>
      </c>
      <c r="C26" s="8"/>
      <c r="D26" s="8"/>
      <c r="E26" s="8"/>
      <c r="F26" s="8"/>
      <c r="G26" s="149"/>
      <c r="H26" s="8"/>
      <c r="I26" s="8"/>
      <c r="J26" s="8"/>
      <c r="K26" s="5">
        <f t="shared" si="1"/>
        <v>0</v>
      </c>
      <c r="L26" s="149"/>
      <c r="M26" s="5"/>
      <c r="N26" s="5"/>
      <c r="O26" s="5"/>
      <c r="P26" s="5"/>
    </row>
    <row r="27" spans="1:16" ht="24" customHeight="1">
      <c r="A27" s="3">
        <v>20</v>
      </c>
      <c r="B27" s="4" t="s">
        <v>21</v>
      </c>
      <c r="C27" s="5"/>
      <c r="D27" s="5">
        <v>208.1165</v>
      </c>
      <c r="E27" s="5">
        <v>94.37</v>
      </c>
      <c r="F27" s="5">
        <f>SUM(C27:E27)</f>
        <v>302.48649999999998</v>
      </c>
      <c r="G27" s="147" t="s">
        <v>166</v>
      </c>
      <c r="H27" s="5"/>
      <c r="I27" s="5"/>
      <c r="J27" s="5"/>
      <c r="K27" s="5">
        <f t="shared" si="1"/>
        <v>0</v>
      </c>
      <c r="L27" s="147"/>
      <c r="M27" s="5">
        <f>C27+H27</f>
        <v>0</v>
      </c>
      <c r="N27" s="5">
        <f>D27+I27</f>
        <v>208.1165</v>
      </c>
      <c r="O27" s="5">
        <f>E27+J27</f>
        <v>94.37</v>
      </c>
      <c r="P27" s="5">
        <f t="shared" si="5"/>
        <v>302.48649999999998</v>
      </c>
    </row>
    <row r="28" spans="1:16" ht="24" customHeight="1">
      <c r="A28" s="3">
        <v>21</v>
      </c>
      <c r="B28" s="4" t="s">
        <v>22</v>
      </c>
      <c r="C28" s="5"/>
      <c r="D28" s="5"/>
      <c r="E28" s="5"/>
      <c r="F28" s="5">
        <f t="shared" ref="F28:F34" si="8">SUM(C28:E28)</f>
        <v>0</v>
      </c>
      <c r="G28" s="147"/>
      <c r="H28" s="5"/>
      <c r="I28" s="5"/>
      <c r="J28" s="5"/>
      <c r="K28" s="5">
        <f t="shared" si="1"/>
        <v>0</v>
      </c>
      <c r="L28" s="147"/>
      <c r="M28" s="5">
        <f t="shared" ref="M28:M34" si="9">C28+H28</f>
        <v>0</v>
      </c>
      <c r="N28" s="5">
        <f t="shared" ref="N28:N34" si="10">D28+I28</f>
        <v>0</v>
      </c>
      <c r="O28" s="5">
        <f t="shared" ref="O28:O34" si="11">E28+J28</f>
        <v>0</v>
      </c>
      <c r="P28" s="5">
        <f t="shared" si="5"/>
        <v>0</v>
      </c>
    </row>
    <row r="29" spans="1:16" ht="24" customHeight="1">
      <c r="A29" s="3">
        <v>22</v>
      </c>
      <c r="B29" s="4" t="s">
        <v>23</v>
      </c>
      <c r="C29" s="5">
        <v>1.85</v>
      </c>
      <c r="D29" s="5">
        <v>31.47</v>
      </c>
      <c r="E29" s="5">
        <v>58.13</v>
      </c>
      <c r="F29" s="5">
        <f t="shared" si="8"/>
        <v>91.45</v>
      </c>
      <c r="G29" s="147" t="s">
        <v>216</v>
      </c>
      <c r="H29" s="5"/>
      <c r="I29" s="5"/>
      <c r="J29" s="5"/>
      <c r="K29" s="5">
        <f t="shared" si="1"/>
        <v>0</v>
      </c>
      <c r="L29" s="147"/>
      <c r="M29" s="5">
        <f t="shared" si="9"/>
        <v>1.85</v>
      </c>
      <c r="N29" s="5">
        <f t="shared" si="10"/>
        <v>31.47</v>
      </c>
      <c r="O29" s="5">
        <f t="shared" si="11"/>
        <v>58.13</v>
      </c>
      <c r="P29" s="5">
        <f t="shared" si="5"/>
        <v>91.45</v>
      </c>
    </row>
    <row r="30" spans="1:16" ht="24" customHeight="1">
      <c r="A30" s="3">
        <v>23</v>
      </c>
      <c r="B30" s="4" t="s">
        <v>24</v>
      </c>
      <c r="C30" s="5"/>
      <c r="D30" s="5"/>
      <c r="E30" s="5"/>
      <c r="F30" s="5">
        <f t="shared" si="8"/>
        <v>0</v>
      </c>
      <c r="G30" s="147"/>
      <c r="H30" s="5"/>
      <c r="I30" s="5"/>
      <c r="J30" s="5"/>
      <c r="K30" s="5">
        <f t="shared" si="1"/>
        <v>0</v>
      </c>
      <c r="L30" s="147"/>
      <c r="M30" s="5">
        <f t="shared" si="9"/>
        <v>0</v>
      </c>
      <c r="N30" s="5">
        <f t="shared" si="10"/>
        <v>0</v>
      </c>
      <c r="O30" s="5">
        <f t="shared" si="11"/>
        <v>0</v>
      </c>
      <c r="P30" s="5">
        <f t="shared" si="5"/>
        <v>0</v>
      </c>
    </row>
    <row r="31" spans="1:16" ht="24" customHeight="1">
      <c r="A31" s="3">
        <v>24</v>
      </c>
      <c r="B31" s="4" t="s">
        <v>25</v>
      </c>
      <c r="C31" s="5"/>
      <c r="D31" s="5">
        <v>690</v>
      </c>
      <c r="E31" s="5">
        <v>33.982999999999997</v>
      </c>
      <c r="F31" s="5">
        <f t="shared" si="8"/>
        <v>723.98299999999995</v>
      </c>
      <c r="G31" s="147" t="s">
        <v>169</v>
      </c>
      <c r="H31" s="5"/>
      <c r="I31" s="5">
        <v>342.06</v>
      </c>
      <c r="J31" s="5">
        <v>19.93</v>
      </c>
      <c r="K31" s="5">
        <f t="shared" si="1"/>
        <v>361.99</v>
      </c>
      <c r="L31" s="147" t="s">
        <v>204</v>
      </c>
      <c r="M31" s="5">
        <f t="shared" si="9"/>
        <v>0</v>
      </c>
      <c r="N31" s="5">
        <f t="shared" si="10"/>
        <v>1032.06</v>
      </c>
      <c r="O31" s="5">
        <f t="shared" si="11"/>
        <v>53.912999999999997</v>
      </c>
      <c r="P31" s="5">
        <f t="shared" si="5"/>
        <v>1085.973</v>
      </c>
    </row>
    <row r="32" spans="1:16" ht="24" customHeight="1">
      <c r="A32" s="3">
        <v>26</v>
      </c>
      <c r="B32" s="4" t="s">
        <v>26</v>
      </c>
      <c r="C32" s="5"/>
      <c r="D32" s="5">
        <v>248.08</v>
      </c>
      <c r="E32" s="5">
        <v>38.72</v>
      </c>
      <c r="F32" s="5">
        <f t="shared" si="8"/>
        <v>286.8</v>
      </c>
      <c r="G32" s="147" t="s">
        <v>168</v>
      </c>
      <c r="H32" s="5"/>
      <c r="I32" s="5">
        <v>225.01</v>
      </c>
      <c r="J32" s="5">
        <v>28.09</v>
      </c>
      <c r="K32" s="5">
        <f t="shared" si="1"/>
        <v>253.1</v>
      </c>
      <c r="L32" s="147" t="s">
        <v>204</v>
      </c>
      <c r="M32" s="5">
        <f t="shared" si="9"/>
        <v>0</v>
      </c>
      <c r="N32" s="5">
        <f t="shared" si="10"/>
        <v>473.09000000000003</v>
      </c>
      <c r="O32" s="5">
        <f t="shared" si="11"/>
        <v>66.81</v>
      </c>
      <c r="P32" s="5">
        <f t="shared" si="5"/>
        <v>539.90000000000009</v>
      </c>
    </row>
    <row r="33" spans="1:16" ht="24" customHeight="1">
      <c r="A33" s="3">
        <v>27</v>
      </c>
      <c r="B33" s="4" t="s">
        <v>27</v>
      </c>
      <c r="C33" s="5"/>
      <c r="D33" s="5"/>
      <c r="E33" s="5"/>
      <c r="F33" s="5">
        <f t="shared" si="8"/>
        <v>0</v>
      </c>
      <c r="G33" s="147"/>
      <c r="H33" s="5"/>
      <c r="I33" s="5"/>
      <c r="J33" s="5"/>
      <c r="K33" s="5">
        <f t="shared" si="1"/>
        <v>0</v>
      </c>
      <c r="L33" s="147"/>
      <c r="M33" s="5">
        <f t="shared" si="9"/>
        <v>0</v>
      </c>
      <c r="N33" s="5">
        <f t="shared" si="10"/>
        <v>0</v>
      </c>
      <c r="O33" s="5">
        <f t="shared" si="11"/>
        <v>0</v>
      </c>
      <c r="P33" s="5">
        <f t="shared" si="5"/>
        <v>0</v>
      </c>
    </row>
    <row r="34" spans="1:16" ht="24" customHeight="1">
      <c r="A34" s="3">
        <v>28</v>
      </c>
      <c r="B34" s="4" t="s">
        <v>28</v>
      </c>
      <c r="C34" s="5">
        <v>10.83</v>
      </c>
      <c r="D34" s="5">
        <v>19.36</v>
      </c>
      <c r="E34" s="5">
        <v>32.06</v>
      </c>
      <c r="F34" s="5">
        <f t="shared" si="8"/>
        <v>62.25</v>
      </c>
      <c r="G34" s="147" t="s">
        <v>216</v>
      </c>
      <c r="H34" s="5"/>
      <c r="I34" s="5"/>
      <c r="J34" s="5"/>
      <c r="K34" s="5">
        <f t="shared" si="1"/>
        <v>0</v>
      </c>
      <c r="L34" s="147"/>
      <c r="M34" s="5">
        <f t="shared" si="9"/>
        <v>10.83</v>
      </c>
      <c r="N34" s="5">
        <f t="shared" si="10"/>
        <v>19.36</v>
      </c>
      <c r="O34" s="5">
        <f t="shared" si="11"/>
        <v>32.06</v>
      </c>
      <c r="P34" s="5">
        <f t="shared" si="5"/>
        <v>62.25</v>
      </c>
    </row>
    <row r="35" spans="1:16" s="23" customFormat="1" ht="24" customHeight="1">
      <c r="A35" s="20" t="s">
        <v>29</v>
      </c>
      <c r="B35" s="24" t="s">
        <v>58</v>
      </c>
      <c r="C35" s="22">
        <f>SUM(C27:C34)</f>
        <v>12.68</v>
      </c>
      <c r="D35" s="22">
        <f>SUM(D27:D34)</f>
        <v>1197.0264999999999</v>
      </c>
      <c r="E35" s="22">
        <f>SUM(E27:E34)</f>
        <v>257.26300000000003</v>
      </c>
      <c r="F35" s="22">
        <f>SUM(F27:F34)</f>
        <v>1466.9694999999999</v>
      </c>
      <c r="G35" s="148"/>
      <c r="H35" s="22">
        <f>SUM(H27:H34)</f>
        <v>0</v>
      </c>
      <c r="I35" s="22">
        <f>SUM(I27:I34)</f>
        <v>567.06999999999994</v>
      </c>
      <c r="J35" s="22">
        <f>SUM(J27:J34)</f>
        <v>48.019999999999996</v>
      </c>
      <c r="K35" s="22">
        <f>SUM(K27:K34)</f>
        <v>615.09</v>
      </c>
      <c r="L35" s="148"/>
      <c r="M35" s="22">
        <f t="shared" ref="M35:P35" si="12">SUM(M27:M34)</f>
        <v>12.68</v>
      </c>
      <c r="N35" s="22">
        <f t="shared" si="12"/>
        <v>1764.0964999999999</v>
      </c>
      <c r="O35" s="22">
        <f t="shared" si="12"/>
        <v>305.28300000000002</v>
      </c>
      <c r="P35" s="22">
        <f t="shared" si="12"/>
        <v>2082.0595000000003</v>
      </c>
    </row>
    <row r="36" spans="1:16" s="23" customFormat="1" ht="24.95" customHeight="1">
      <c r="A36" s="125"/>
      <c r="B36" s="126" t="s">
        <v>154</v>
      </c>
      <c r="C36" s="127">
        <f>C25+C35</f>
        <v>1764.1307999999999</v>
      </c>
      <c r="D36" s="127">
        <f t="shared" ref="D36:O36" si="13">D25+D35</f>
        <v>2568.6</v>
      </c>
      <c r="E36" s="127">
        <f t="shared" si="13"/>
        <v>11175.541599999999</v>
      </c>
      <c r="F36" s="127">
        <f t="shared" si="13"/>
        <v>15508.272400000002</v>
      </c>
      <c r="G36" s="148"/>
      <c r="H36" s="127">
        <f>H25+H35</f>
        <v>411.4</v>
      </c>
      <c r="I36" s="127">
        <f t="shared" ref="I36:K36" si="14">I25+I35</f>
        <v>607.4</v>
      </c>
      <c r="J36" s="127">
        <f t="shared" si="14"/>
        <v>1995.4750000000001</v>
      </c>
      <c r="K36" s="127">
        <f t="shared" si="14"/>
        <v>3014.2750000000005</v>
      </c>
      <c r="L36" s="148"/>
      <c r="M36" s="127">
        <f t="shared" si="13"/>
        <v>2175.5308</v>
      </c>
      <c r="N36" s="127">
        <f t="shared" si="13"/>
        <v>3176</v>
      </c>
      <c r="O36" s="127">
        <f t="shared" si="13"/>
        <v>13171.016599999999</v>
      </c>
      <c r="P36" s="127">
        <f>P25+P35</f>
        <v>18522.547400000003</v>
      </c>
    </row>
    <row r="37" spans="1:16" s="23" customFormat="1" ht="36" customHeight="1">
      <c r="A37" s="311" t="s">
        <v>172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</row>
    <row r="38" spans="1:16">
      <c r="A38" s="309" t="s">
        <v>37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</row>
    <row r="39" spans="1:16" ht="18.75">
      <c r="A39" s="313"/>
      <c r="B39" s="312" t="s">
        <v>48</v>
      </c>
      <c r="C39" s="314" t="s">
        <v>177</v>
      </c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</row>
    <row r="40" spans="1:16" s="7" customFormat="1">
      <c r="A40" s="313"/>
      <c r="B40" s="312"/>
      <c r="C40" s="156">
        <v>1</v>
      </c>
      <c r="D40" s="156">
        <v>2</v>
      </c>
      <c r="E40" s="156">
        <v>3</v>
      </c>
      <c r="F40" s="156">
        <v>4</v>
      </c>
      <c r="G40" s="156">
        <v>5</v>
      </c>
      <c r="H40" s="156">
        <v>6</v>
      </c>
      <c r="I40" s="156">
        <v>7</v>
      </c>
      <c r="J40" s="156">
        <v>8</v>
      </c>
      <c r="K40" s="156">
        <v>9</v>
      </c>
      <c r="L40" s="156">
        <v>10</v>
      </c>
      <c r="M40" s="156">
        <v>11</v>
      </c>
      <c r="N40" s="156">
        <v>12</v>
      </c>
      <c r="O40" s="156">
        <v>13</v>
      </c>
      <c r="P40" s="124" t="s">
        <v>94</v>
      </c>
    </row>
    <row r="41" spans="1:16" s="7" customFormat="1">
      <c r="A41" s="3">
        <v>29</v>
      </c>
      <c r="B41" s="13" t="s">
        <v>124</v>
      </c>
      <c r="C41" s="5"/>
      <c r="D41" s="5"/>
      <c r="E41" s="5"/>
      <c r="F41" s="5"/>
      <c r="G41" s="150"/>
      <c r="H41" s="5"/>
      <c r="I41" s="5"/>
      <c r="J41" s="5"/>
      <c r="K41" s="5"/>
      <c r="L41" s="150"/>
      <c r="M41" s="31"/>
      <c r="N41" s="31"/>
      <c r="O41" s="31"/>
      <c r="P41" s="31">
        <f>SUM(C41:O41)</f>
        <v>0</v>
      </c>
    </row>
    <row r="42" spans="1:16" s="7" customFormat="1">
      <c r="A42" s="195">
        <v>30</v>
      </c>
      <c r="B42" s="13" t="s">
        <v>156</v>
      </c>
      <c r="C42" s="5">
        <v>24</v>
      </c>
      <c r="D42" s="5"/>
      <c r="E42" s="5"/>
      <c r="F42" s="5"/>
      <c r="G42" s="150"/>
      <c r="H42" s="5"/>
      <c r="I42" s="5"/>
      <c r="J42" s="5"/>
      <c r="K42" s="5"/>
      <c r="L42" s="150"/>
      <c r="M42" s="31"/>
      <c r="N42" s="31"/>
      <c r="O42" s="31"/>
      <c r="P42" s="31">
        <f t="shared" ref="P42:P61" si="15">SUM(C42:O42)</f>
        <v>24</v>
      </c>
    </row>
    <row r="43" spans="1:16" s="7" customFormat="1">
      <c r="A43" s="203">
        <v>31</v>
      </c>
      <c r="B43" s="13" t="s">
        <v>127</v>
      </c>
      <c r="C43" s="5"/>
      <c r="D43" s="5"/>
      <c r="E43" s="5"/>
      <c r="F43" s="5"/>
      <c r="G43" s="150"/>
      <c r="H43" s="5"/>
      <c r="I43" s="5"/>
      <c r="J43" s="5"/>
      <c r="K43" s="5"/>
      <c r="L43" s="150"/>
      <c r="M43" s="31"/>
      <c r="N43" s="31"/>
      <c r="O43" s="31"/>
      <c r="P43" s="31">
        <f t="shared" si="15"/>
        <v>0</v>
      </c>
    </row>
    <row r="44" spans="1:16" s="16" customFormat="1" ht="18" customHeight="1">
      <c r="A44" s="203">
        <v>32</v>
      </c>
      <c r="B44" s="13" t="s">
        <v>74</v>
      </c>
      <c r="C44" s="193">
        <v>273.36178000000001</v>
      </c>
      <c r="D44" s="193">
        <v>828.52660000000003</v>
      </c>
      <c r="E44" s="193">
        <v>144.46968000000001</v>
      </c>
      <c r="F44" s="193">
        <v>253.64194000000001</v>
      </c>
      <c r="G44" s="36">
        <v>1738.3864000000001</v>
      </c>
      <c r="H44" s="128">
        <v>126.23681999999999</v>
      </c>
      <c r="I44" s="128">
        <v>1225.2943499999999</v>
      </c>
      <c r="J44" s="128">
        <v>119.3616</v>
      </c>
      <c r="K44" s="128">
        <v>742.40597000000002</v>
      </c>
      <c r="L44" s="36">
        <v>654.375</v>
      </c>
      <c r="M44" s="36"/>
      <c r="N44" s="36"/>
      <c r="O44" s="36"/>
      <c r="P44" s="31">
        <f t="shared" si="15"/>
        <v>6106.0601400000005</v>
      </c>
    </row>
    <row r="45" spans="1:16" s="16" customFormat="1" ht="18" customHeight="1">
      <c r="A45" s="203">
        <v>33</v>
      </c>
      <c r="B45" s="13" t="s">
        <v>75</v>
      </c>
      <c r="C45" s="193">
        <v>109.5277</v>
      </c>
      <c r="D45" s="193">
        <v>40.027999999999999</v>
      </c>
      <c r="E45" s="193">
        <v>22.524999999999999</v>
      </c>
      <c r="F45" s="193">
        <v>408.05430000000001</v>
      </c>
      <c r="G45" s="151"/>
      <c r="H45" s="128"/>
      <c r="I45" s="128"/>
      <c r="J45" s="128"/>
      <c r="K45" s="128"/>
      <c r="L45" s="151"/>
      <c r="M45" s="36"/>
      <c r="N45" s="36"/>
      <c r="O45" s="36"/>
      <c r="P45" s="31">
        <f t="shared" si="15"/>
        <v>580.13499999999999</v>
      </c>
    </row>
    <row r="46" spans="1:16" s="16" customFormat="1" ht="18" customHeight="1">
      <c r="A46" s="203">
        <v>34</v>
      </c>
      <c r="B46" s="13" t="s">
        <v>76</v>
      </c>
      <c r="C46" s="193">
        <v>12.117100000000001</v>
      </c>
      <c r="D46" s="193">
        <v>308.1302</v>
      </c>
      <c r="E46" s="193">
        <v>177.92500000000001</v>
      </c>
      <c r="F46" s="193">
        <v>181.56</v>
      </c>
      <c r="G46" s="151"/>
      <c r="H46" s="128"/>
      <c r="I46" s="128"/>
      <c r="J46" s="128"/>
      <c r="K46" s="128"/>
      <c r="L46" s="151"/>
      <c r="M46" s="36"/>
      <c r="N46" s="36"/>
      <c r="O46" s="36"/>
      <c r="P46" s="31">
        <f t="shared" si="15"/>
        <v>679.73230000000001</v>
      </c>
    </row>
    <row r="47" spans="1:16" s="16" customFormat="1" ht="18" customHeight="1">
      <c r="A47" s="203">
        <v>35</v>
      </c>
      <c r="B47" s="13" t="s">
        <v>77</v>
      </c>
      <c r="C47" s="193">
        <v>28.4193</v>
      </c>
      <c r="D47" s="193">
        <v>15.103199999999999</v>
      </c>
      <c r="E47" s="193"/>
      <c r="F47" s="193"/>
      <c r="G47" s="151"/>
      <c r="H47" s="128"/>
      <c r="I47" s="128"/>
      <c r="J47" s="128"/>
      <c r="K47" s="128"/>
      <c r="L47" s="151"/>
      <c r="M47" s="36"/>
      <c r="N47" s="36"/>
      <c r="O47" s="36"/>
      <c r="P47" s="31">
        <f t="shared" si="15"/>
        <v>43.522500000000001</v>
      </c>
    </row>
    <row r="48" spans="1:16" s="16" customFormat="1" ht="18" customHeight="1">
      <c r="A48" s="203">
        <v>36</v>
      </c>
      <c r="B48" s="13" t="s">
        <v>78</v>
      </c>
      <c r="C48" s="193">
        <v>1.1495</v>
      </c>
      <c r="D48" s="193">
        <v>21.061199999999999</v>
      </c>
      <c r="E48" s="193">
        <v>67.73</v>
      </c>
      <c r="F48" s="193">
        <v>28.19</v>
      </c>
      <c r="G48" s="151"/>
      <c r="H48" s="128"/>
      <c r="I48" s="128"/>
      <c r="J48" s="128"/>
      <c r="K48" s="128"/>
      <c r="L48" s="151"/>
      <c r="M48" s="36"/>
      <c r="N48" s="36"/>
      <c r="O48" s="36"/>
      <c r="P48" s="31">
        <f t="shared" si="15"/>
        <v>118.1307</v>
      </c>
    </row>
    <row r="49" spans="1:16" s="7" customFormat="1" ht="18" customHeight="1">
      <c r="A49" s="203">
        <v>37</v>
      </c>
      <c r="B49" s="13" t="s">
        <v>152</v>
      </c>
      <c r="C49" s="194">
        <v>5.03</v>
      </c>
      <c r="D49" s="194"/>
      <c r="E49" s="194"/>
      <c r="F49" s="194"/>
      <c r="G49" s="150"/>
      <c r="H49" s="5"/>
      <c r="I49" s="5"/>
      <c r="J49" s="5"/>
      <c r="K49" s="5"/>
      <c r="L49" s="150"/>
      <c r="M49" s="31"/>
      <c r="N49" s="31"/>
      <c r="O49" s="31"/>
      <c r="P49" s="31">
        <f t="shared" si="15"/>
        <v>5.03</v>
      </c>
    </row>
    <row r="50" spans="1:16" s="7" customFormat="1" ht="18" customHeight="1">
      <c r="A50" s="203">
        <v>38</v>
      </c>
      <c r="B50" s="13" t="s">
        <v>153</v>
      </c>
      <c r="C50" s="194">
        <v>4.3499999999999996</v>
      </c>
      <c r="D50" s="194"/>
      <c r="E50" s="194"/>
      <c r="F50" s="194"/>
      <c r="G50" s="150"/>
      <c r="H50" s="5"/>
      <c r="I50" s="5"/>
      <c r="J50" s="5"/>
      <c r="K50" s="5"/>
      <c r="L50" s="150"/>
      <c r="M50" s="31"/>
      <c r="N50" s="31"/>
      <c r="O50" s="31"/>
      <c r="P50" s="31">
        <f t="shared" si="15"/>
        <v>4.3499999999999996</v>
      </c>
    </row>
    <row r="51" spans="1:16" s="7" customFormat="1" ht="18" customHeight="1">
      <c r="A51" s="203">
        <v>39</v>
      </c>
      <c r="B51" s="13" t="s">
        <v>138</v>
      </c>
      <c r="C51" s="194">
        <v>4</v>
      </c>
      <c r="D51" s="194"/>
      <c r="E51" s="194"/>
      <c r="F51" s="194"/>
      <c r="G51" s="150"/>
      <c r="H51" s="5"/>
      <c r="I51" s="5"/>
      <c r="J51" s="5"/>
      <c r="K51" s="5"/>
      <c r="L51" s="150"/>
      <c r="M51" s="31"/>
      <c r="N51" s="31"/>
      <c r="O51" s="31"/>
      <c r="P51" s="31">
        <f t="shared" si="15"/>
        <v>4</v>
      </c>
    </row>
    <row r="52" spans="1:16" s="7" customFormat="1" ht="18" customHeight="1">
      <c r="A52" s="203">
        <v>40</v>
      </c>
      <c r="B52" s="13" t="s">
        <v>160</v>
      </c>
      <c r="C52" s="194">
        <v>3</v>
      </c>
      <c r="D52" s="194">
        <v>7.44</v>
      </c>
      <c r="E52" s="194">
        <v>2</v>
      </c>
      <c r="F52" s="194"/>
      <c r="G52" s="150"/>
      <c r="H52" s="5"/>
      <c r="I52" s="5"/>
      <c r="J52" s="5"/>
      <c r="K52" s="5"/>
      <c r="L52" s="150"/>
      <c r="M52" s="31"/>
      <c r="N52" s="31"/>
      <c r="O52" s="31"/>
      <c r="P52" s="31">
        <f t="shared" si="15"/>
        <v>12.440000000000001</v>
      </c>
    </row>
    <row r="53" spans="1:16" s="7" customFormat="1" ht="18" customHeight="1">
      <c r="A53" s="203">
        <v>41</v>
      </c>
      <c r="B53" s="13" t="str">
        <f>ADC!B57</f>
        <v>Kumaun University, Uttarakhand</v>
      </c>
      <c r="C53" s="194">
        <v>3.50664</v>
      </c>
      <c r="D53" s="194"/>
      <c r="E53" s="194"/>
      <c r="F53" s="194"/>
      <c r="G53" s="150"/>
      <c r="H53" s="5"/>
      <c r="I53" s="5"/>
      <c r="J53" s="5"/>
      <c r="K53" s="5"/>
      <c r="L53" s="150"/>
      <c r="M53" s="31"/>
      <c r="N53" s="31"/>
      <c r="O53" s="31"/>
      <c r="P53" s="31">
        <f t="shared" si="15"/>
        <v>3.50664</v>
      </c>
    </row>
    <row r="54" spans="1:16" s="7" customFormat="1" ht="18" customHeight="1">
      <c r="A54" s="203">
        <v>42</v>
      </c>
      <c r="B54" s="13" t="s">
        <v>143</v>
      </c>
      <c r="C54" s="194">
        <v>117.27</v>
      </c>
      <c r="D54" s="194">
        <v>18.01934</v>
      </c>
      <c r="E54" s="194">
        <v>11.22</v>
      </c>
      <c r="F54" s="194"/>
      <c r="G54" s="150"/>
      <c r="H54" s="5"/>
      <c r="I54" s="5"/>
      <c r="J54" s="5"/>
      <c r="K54" s="5"/>
      <c r="L54" s="150"/>
      <c r="M54" s="31"/>
      <c r="N54" s="31"/>
      <c r="O54" s="31"/>
      <c r="P54" s="31">
        <f t="shared" si="15"/>
        <v>146.50933999999998</v>
      </c>
    </row>
    <row r="55" spans="1:16" s="7" customFormat="1" ht="18" customHeight="1">
      <c r="A55" s="203">
        <v>43</v>
      </c>
      <c r="B55" s="13" t="s">
        <v>176</v>
      </c>
      <c r="C55" s="194">
        <v>0.5</v>
      </c>
      <c r="D55" s="194">
        <v>13.37</v>
      </c>
      <c r="E55" s="194"/>
      <c r="F55" s="194"/>
      <c r="G55" s="150"/>
      <c r="H55" s="5"/>
      <c r="I55" s="5"/>
      <c r="J55" s="5"/>
      <c r="K55" s="5"/>
      <c r="L55" s="150"/>
      <c r="M55" s="31"/>
      <c r="N55" s="31"/>
      <c r="O55" s="31"/>
      <c r="P55" s="31">
        <f t="shared" si="15"/>
        <v>13.87</v>
      </c>
    </row>
    <row r="56" spans="1:16" s="7" customFormat="1" ht="18" customHeight="1">
      <c r="A56" s="203">
        <v>44</v>
      </c>
      <c r="B56" s="13" t="s">
        <v>178</v>
      </c>
      <c r="C56" s="194">
        <v>9.2899999999999991</v>
      </c>
      <c r="D56" s="194"/>
      <c r="E56" s="194"/>
      <c r="F56" s="194"/>
      <c r="G56" s="150"/>
      <c r="H56" s="5"/>
      <c r="I56" s="5"/>
      <c r="J56" s="5"/>
      <c r="K56" s="5"/>
      <c r="L56" s="150"/>
      <c r="M56" s="31"/>
      <c r="N56" s="31"/>
      <c r="O56" s="31"/>
      <c r="P56" s="31">
        <f t="shared" si="15"/>
        <v>9.2899999999999991</v>
      </c>
    </row>
    <row r="57" spans="1:16" s="7" customFormat="1" ht="18" customHeight="1">
      <c r="A57" s="203">
        <v>45</v>
      </c>
      <c r="B57" s="13" t="s">
        <v>199</v>
      </c>
      <c r="C57" s="194">
        <v>584.16745000000003</v>
      </c>
      <c r="D57" s="194"/>
      <c r="E57" s="194"/>
      <c r="F57" s="194"/>
      <c r="G57" s="150"/>
      <c r="H57" s="5"/>
      <c r="I57" s="5"/>
      <c r="J57" s="5"/>
      <c r="K57" s="5"/>
      <c r="L57" s="150"/>
      <c r="M57" s="31"/>
      <c r="N57" s="31"/>
      <c r="O57" s="31"/>
      <c r="P57" s="31">
        <f t="shared" si="15"/>
        <v>584.16745000000003</v>
      </c>
    </row>
    <row r="58" spans="1:16" s="7" customFormat="1" ht="18" customHeight="1">
      <c r="A58" s="203">
        <v>46</v>
      </c>
      <c r="B58" s="13" t="s">
        <v>203</v>
      </c>
      <c r="C58" s="194">
        <v>14.94</v>
      </c>
      <c r="D58" s="194"/>
      <c r="E58" s="194"/>
      <c r="F58" s="194"/>
      <c r="G58" s="150"/>
      <c r="H58" s="5"/>
      <c r="I58" s="5"/>
      <c r="J58" s="5"/>
      <c r="K58" s="5"/>
      <c r="L58" s="150"/>
      <c r="M58" s="31"/>
      <c r="N58" s="31"/>
      <c r="O58" s="31"/>
      <c r="P58" s="31">
        <f>SUM(C58:O58)</f>
        <v>14.94</v>
      </c>
    </row>
    <row r="59" spans="1:16" s="7" customFormat="1" ht="18" customHeight="1">
      <c r="A59" s="233">
        <v>47</v>
      </c>
      <c r="B59" s="13" t="s">
        <v>213</v>
      </c>
      <c r="C59" s="194">
        <v>4</v>
      </c>
      <c r="D59" s="194"/>
      <c r="E59" s="194"/>
      <c r="F59" s="194"/>
      <c r="G59" s="150"/>
      <c r="H59" s="5"/>
      <c r="I59" s="5"/>
      <c r="J59" s="5"/>
      <c r="K59" s="5"/>
      <c r="L59" s="150"/>
      <c r="M59" s="31"/>
      <c r="N59" s="31"/>
      <c r="O59" s="31"/>
      <c r="P59" s="31">
        <f>SUM(C59:O59)</f>
        <v>4</v>
      </c>
    </row>
    <row r="60" spans="1:16" s="7" customFormat="1" ht="18" customHeight="1">
      <c r="A60" s="237">
        <v>48</v>
      </c>
      <c r="B60" s="13" t="s">
        <v>221</v>
      </c>
      <c r="C60" s="194">
        <v>4.5</v>
      </c>
      <c r="D60" s="194"/>
      <c r="E60" s="194"/>
      <c r="F60" s="194"/>
      <c r="G60" s="150"/>
      <c r="H60" s="5"/>
      <c r="I60" s="5"/>
      <c r="J60" s="5"/>
      <c r="K60" s="5"/>
      <c r="L60" s="150"/>
      <c r="M60" s="31"/>
      <c r="N60" s="31"/>
      <c r="O60" s="31"/>
      <c r="P60" s="31">
        <f>SUM(C60:O60)</f>
        <v>4.5</v>
      </c>
    </row>
    <row r="61" spans="1:16" s="7" customFormat="1" ht="18" customHeight="1">
      <c r="A61" s="237">
        <v>49</v>
      </c>
      <c r="B61" s="13" t="s">
        <v>36</v>
      </c>
      <c r="C61" s="5"/>
      <c r="D61" s="5"/>
      <c r="E61" s="5"/>
      <c r="F61" s="5"/>
      <c r="G61" s="150"/>
      <c r="H61" s="5"/>
      <c r="I61" s="5"/>
      <c r="J61" s="5"/>
      <c r="K61" s="5"/>
      <c r="L61" s="150"/>
      <c r="M61" s="31"/>
      <c r="N61" s="31"/>
      <c r="O61" s="31"/>
      <c r="P61" s="31">
        <f t="shared" si="15"/>
        <v>0</v>
      </c>
    </row>
    <row r="62" spans="1:16" s="23" customFormat="1" ht="18" customHeight="1">
      <c r="A62" s="20" t="s">
        <v>30</v>
      </c>
      <c r="B62" s="21" t="s">
        <v>61</v>
      </c>
      <c r="C62" s="22"/>
      <c r="D62" s="22"/>
      <c r="E62" s="22"/>
      <c r="F62" s="22"/>
      <c r="G62" s="145"/>
      <c r="H62" s="22"/>
      <c r="I62" s="22"/>
      <c r="J62" s="22"/>
      <c r="K62" s="22"/>
      <c r="L62" s="145"/>
      <c r="M62" s="22"/>
      <c r="N62" s="22"/>
      <c r="O62" s="22"/>
      <c r="P62" s="22">
        <f>SUM(P41:P61)</f>
        <v>8358.1840699999993</v>
      </c>
    </row>
    <row r="63" spans="1:16" s="16" customFormat="1" ht="18.75">
      <c r="A63" s="14"/>
      <c r="B63" s="30" t="s">
        <v>46</v>
      </c>
      <c r="C63" s="156">
        <v>1</v>
      </c>
      <c r="D63" s="156">
        <v>2</v>
      </c>
      <c r="E63" s="156">
        <v>3</v>
      </c>
      <c r="F63" s="156">
        <v>4</v>
      </c>
      <c r="G63" s="156">
        <v>5</v>
      </c>
      <c r="H63" s="156">
        <v>6</v>
      </c>
      <c r="I63" s="156">
        <v>7</v>
      </c>
      <c r="J63" s="156">
        <v>8</v>
      </c>
      <c r="K63" s="156">
        <v>9</v>
      </c>
      <c r="L63" s="156">
        <v>10</v>
      </c>
      <c r="M63" s="156">
        <v>11</v>
      </c>
      <c r="N63" s="156">
        <v>12</v>
      </c>
      <c r="O63" s="156">
        <v>13</v>
      </c>
      <c r="P63" s="123" t="s">
        <v>94</v>
      </c>
    </row>
    <row r="64" spans="1:16" s="7" customFormat="1" ht="18" customHeight="1">
      <c r="A64" s="3">
        <v>50</v>
      </c>
      <c r="B64" s="4" t="s">
        <v>47</v>
      </c>
      <c r="C64" s="5">
        <v>60</v>
      </c>
      <c r="D64" s="5"/>
      <c r="E64" s="5"/>
      <c r="F64" s="5"/>
      <c r="G64" s="150"/>
      <c r="H64" s="5"/>
      <c r="I64" s="5"/>
      <c r="J64" s="5"/>
      <c r="K64" s="5"/>
      <c r="L64" s="150"/>
      <c r="M64" s="5"/>
      <c r="N64" s="5"/>
      <c r="O64" s="5"/>
      <c r="P64" s="31">
        <f>SUM(C64:O64)</f>
        <v>60</v>
      </c>
    </row>
    <row r="65" spans="1:16" s="23" customFormat="1" ht="18" customHeight="1">
      <c r="A65" s="20" t="s">
        <v>49</v>
      </c>
      <c r="B65" s="21" t="s">
        <v>62</v>
      </c>
      <c r="C65" s="22"/>
      <c r="D65" s="22"/>
      <c r="E65" s="22"/>
      <c r="F65" s="22"/>
      <c r="G65" s="145"/>
      <c r="H65" s="22"/>
      <c r="I65" s="22"/>
      <c r="J65" s="22"/>
      <c r="K65" s="22"/>
      <c r="L65" s="145"/>
      <c r="M65" s="22"/>
      <c r="N65" s="22"/>
      <c r="O65" s="22"/>
      <c r="P65" s="22">
        <f t="shared" ref="P65" si="16">P64</f>
        <v>60</v>
      </c>
    </row>
    <row r="66" spans="1:16" s="19" customFormat="1" ht="21.75" thickBot="1">
      <c r="A66" s="17"/>
      <c r="B66" s="18" t="s">
        <v>50</v>
      </c>
      <c r="C66" s="28"/>
      <c r="D66" s="28"/>
      <c r="E66" s="28"/>
      <c r="F66" s="28"/>
      <c r="G66" s="152"/>
      <c r="H66" s="28"/>
      <c r="I66" s="28"/>
      <c r="J66" s="28"/>
      <c r="K66" s="28"/>
      <c r="L66" s="152"/>
      <c r="M66" s="28"/>
      <c r="N66" s="28"/>
      <c r="O66" s="28"/>
      <c r="P66" s="28">
        <f>P36+P62+P65</f>
        <v>26940.731470000002</v>
      </c>
    </row>
    <row r="67" spans="1:16" s="7" customFormat="1" ht="18" customHeight="1" thickTop="1">
      <c r="A67" s="25"/>
      <c r="B67" s="26"/>
      <c r="C67" s="27"/>
      <c r="D67" s="27"/>
      <c r="E67" s="27"/>
      <c r="F67" s="27"/>
      <c r="G67" s="153"/>
      <c r="H67" s="27"/>
      <c r="I67" s="27"/>
      <c r="J67" s="27"/>
      <c r="K67" s="27"/>
      <c r="L67" s="153"/>
      <c r="M67" s="27"/>
      <c r="N67" s="27"/>
      <c r="O67" s="27"/>
      <c r="P67" s="27"/>
    </row>
  </sheetData>
  <mergeCells count="12">
    <mergeCell ref="A37:P37"/>
    <mergeCell ref="A38:P38"/>
    <mergeCell ref="B39:B40"/>
    <mergeCell ref="A39:A40"/>
    <mergeCell ref="C39:P39"/>
    <mergeCell ref="M3:O3"/>
    <mergeCell ref="A2:P2"/>
    <mergeCell ref="A1:P1"/>
    <mergeCell ref="A3:A4"/>
    <mergeCell ref="B3:B4"/>
    <mergeCell ref="C3:G3"/>
    <mergeCell ref="H3:L3"/>
  </mergeCells>
  <printOptions horizontalCentered="1"/>
  <pageMargins left="0.25" right="0.25" top="0.25" bottom="0.5" header="0.25" footer="0.25"/>
  <pageSetup scale="56" orientation="landscape" r:id="rId1"/>
  <headerFooter>
    <oddFooter>&amp;C
&amp;P</oddFooter>
  </headerFooter>
  <rowBreaks count="1" manualBreakCount="1">
    <brk id="3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="110" zoomScaleNormal="11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F56" sqref="F56"/>
    </sheetView>
  </sheetViews>
  <sheetFormatPr defaultColWidth="9.140625" defaultRowHeight="15.75"/>
  <cols>
    <col min="1" max="1" width="5" style="9" customWidth="1"/>
    <col min="2" max="2" width="44.140625" style="6" customWidth="1"/>
    <col min="3" max="8" width="12.7109375" style="6" customWidth="1"/>
    <col min="9" max="10" width="13.85546875" style="6" customWidth="1"/>
    <col min="11" max="16384" width="9.140625" style="6"/>
  </cols>
  <sheetData>
    <row r="1" spans="1:10" ht="47.25" customHeight="1">
      <c r="A1" s="320" t="s">
        <v>141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>
      <c r="A2" s="322" t="s">
        <v>37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s="7" customFormat="1" ht="18.75">
      <c r="A3" s="286" t="s">
        <v>0</v>
      </c>
      <c r="B3" s="288" t="s">
        <v>34</v>
      </c>
      <c r="C3" s="272" t="s">
        <v>51</v>
      </c>
      <c r="D3" s="272"/>
      <c r="E3" s="272" t="s">
        <v>52</v>
      </c>
      <c r="F3" s="272"/>
      <c r="G3" s="272" t="s">
        <v>53</v>
      </c>
      <c r="H3" s="272"/>
      <c r="I3" s="271" t="s">
        <v>38</v>
      </c>
      <c r="J3" s="272"/>
    </row>
    <row r="4" spans="1:10" s="7" customFormat="1" ht="34.5" customHeight="1">
      <c r="A4" s="287"/>
      <c r="B4" s="288"/>
      <c r="C4" s="11" t="s">
        <v>139</v>
      </c>
      <c r="D4" s="11" t="s">
        <v>79</v>
      </c>
      <c r="E4" s="11" t="s">
        <v>139</v>
      </c>
      <c r="F4" s="11" t="s">
        <v>79</v>
      </c>
      <c r="G4" s="11" t="s">
        <v>139</v>
      </c>
      <c r="H4" s="11" t="s">
        <v>79</v>
      </c>
      <c r="I4" s="11" t="s">
        <v>139</v>
      </c>
      <c r="J4" s="11" t="s">
        <v>79</v>
      </c>
    </row>
    <row r="5" spans="1:10" s="7" customFormat="1" ht="18.75">
      <c r="A5" s="1"/>
      <c r="B5" s="29" t="s">
        <v>60</v>
      </c>
      <c r="C5" s="2"/>
      <c r="D5" s="2"/>
      <c r="E5" s="2"/>
      <c r="F5" s="2"/>
      <c r="G5" s="2"/>
      <c r="H5" s="2"/>
      <c r="I5" s="315" t="s">
        <v>64</v>
      </c>
      <c r="J5" s="316"/>
    </row>
    <row r="6" spans="1:10" ht="18" customHeight="1">
      <c r="A6" s="3">
        <v>1</v>
      </c>
      <c r="B6" s="4" t="s">
        <v>1</v>
      </c>
      <c r="C6" s="5"/>
      <c r="D6" s="5"/>
      <c r="E6" s="5"/>
      <c r="F6" s="5"/>
      <c r="G6" s="5"/>
      <c r="H6" s="5"/>
      <c r="I6" s="5">
        <f>C6+E6+G6</f>
        <v>0</v>
      </c>
      <c r="J6" s="5">
        <f>D6+F6+H6</f>
        <v>0</v>
      </c>
    </row>
    <row r="7" spans="1:10" ht="18" customHeight="1">
      <c r="A7" s="3">
        <v>2</v>
      </c>
      <c r="B7" s="4" t="s">
        <v>2</v>
      </c>
      <c r="C7" s="5"/>
      <c r="D7" s="5"/>
      <c r="E7" s="5"/>
      <c r="F7" s="5"/>
      <c r="G7" s="5"/>
      <c r="H7" s="5"/>
      <c r="I7" s="5">
        <f t="shared" ref="I7:J24" si="0">C7+E7+G7</f>
        <v>0</v>
      </c>
      <c r="J7" s="5">
        <f t="shared" si="0"/>
        <v>0</v>
      </c>
    </row>
    <row r="8" spans="1:10" ht="18" customHeight="1">
      <c r="A8" s="3">
        <v>3</v>
      </c>
      <c r="B8" s="4" t="s">
        <v>3</v>
      </c>
      <c r="C8" s="5">
        <v>421</v>
      </c>
      <c r="D8" s="5"/>
      <c r="E8" s="5">
        <v>577.83600000000001</v>
      </c>
      <c r="F8" s="5"/>
      <c r="G8" s="5">
        <v>48.78</v>
      </c>
      <c r="H8" s="5"/>
      <c r="I8" s="5">
        <f t="shared" si="0"/>
        <v>1047.616</v>
      </c>
      <c r="J8" s="5">
        <f t="shared" si="0"/>
        <v>0</v>
      </c>
    </row>
    <row r="9" spans="1:10" ht="18" customHeight="1">
      <c r="A9" s="3">
        <v>4</v>
      </c>
      <c r="B9" s="4" t="s">
        <v>4</v>
      </c>
      <c r="C9" s="5"/>
      <c r="D9" s="5"/>
      <c r="E9" s="5"/>
      <c r="F9" s="5"/>
      <c r="G9" s="5"/>
      <c r="H9" s="5"/>
      <c r="I9" s="5">
        <f t="shared" si="0"/>
        <v>0</v>
      </c>
      <c r="J9" s="5">
        <f t="shared" si="0"/>
        <v>0</v>
      </c>
    </row>
    <row r="10" spans="1:10" ht="18" customHeight="1">
      <c r="A10" s="3">
        <v>5</v>
      </c>
      <c r="B10" s="4" t="s">
        <v>5</v>
      </c>
      <c r="C10" s="5"/>
      <c r="D10" s="5"/>
      <c r="E10" s="5"/>
      <c r="F10" s="5"/>
      <c r="G10" s="5"/>
      <c r="H10" s="5"/>
      <c r="I10" s="5">
        <f t="shared" si="0"/>
        <v>0</v>
      </c>
      <c r="J10" s="5">
        <f t="shared" si="0"/>
        <v>0</v>
      </c>
    </row>
    <row r="11" spans="1:10" ht="18" customHeight="1">
      <c r="A11" s="3">
        <v>6</v>
      </c>
      <c r="B11" s="4" t="s">
        <v>6</v>
      </c>
      <c r="C11" s="5"/>
      <c r="D11" s="5"/>
      <c r="E11" s="5"/>
      <c r="F11" s="5"/>
      <c r="G11" s="5"/>
      <c r="H11" s="5"/>
      <c r="I11" s="5">
        <f t="shared" si="0"/>
        <v>0</v>
      </c>
      <c r="J11" s="5">
        <f t="shared" si="0"/>
        <v>0</v>
      </c>
    </row>
    <row r="12" spans="1:10" ht="18" customHeight="1">
      <c r="A12" s="3">
        <v>7</v>
      </c>
      <c r="B12" s="4" t="s">
        <v>7</v>
      </c>
      <c r="C12" s="5"/>
      <c r="D12" s="5"/>
      <c r="E12" s="5"/>
      <c r="F12" s="5"/>
      <c r="G12" s="5"/>
      <c r="H12" s="5"/>
      <c r="I12" s="5">
        <f t="shared" si="0"/>
        <v>0</v>
      </c>
      <c r="J12" s="5">
        <f t="shared" si="0"/>
        <v>0</v>
      </c>
    </row>
    <row r="13" spans="1:10" ht="18" customHeight="1">
      <c r="A13" s="3">
        <v>8</v>
      </c>
      <c r="B13" s="4" t="s">
        <v>8</v>
      </c>
      <c r="C13" s="5"/>
      <c r="D13" s="5"/>
      <c r="E13" s="5"/>
      <c r="F13" s="5"/>
      <c r="G13" s="5"/>
      <c r="H13" s="5"/>
      <c r="I13" s="5">
        <f t="shared" si="0"/>
        <v>0</v>
      </c>
      <c r="J13" s="5">
        <f t="shared" si="0"/>
        <v>0</v>
      </c>
    </row>
    <row r="14" spans="1:10" ht="18" customHeight="1">
      <c r="A14" s="3">
        <v>9</v>
      </c>
      <c r="B14" s="4" t="s">
        <v>9</v>
      </c>
      <c r="C14" s="5"/>
      <c r="D14" s="5"/>
      <c r="E14" s="5"/>
      <c r="F14" s="5"/>
      <c r="G14" s="5"/>
      <c r="H14" s="5"/>
      <c r="I14" s="5">
        <f t="shared" si="0"/>
        <v>0</v>
      </c>
      <c r="J14" s="5">
        <f t="shared" si="0"/>
        <v>0</v>
      </c>
    </row>
    <row r="15" spans="1:10" ht="18" customHeight="1">
      <c r="A15" s="3">
        <v>10</v>
      </c>
      <c r="B15" s="4" t="s">
        <v>10</v>
      </c>
      <c r="C15" s="5"/>
      <c r="D15" s="5"/>
      <c r="E15" s="5"/>
      <c r="F15" s="5"/>
      <c r="G15" s="5"/>
      <c r="H15" s="5"/>
      <c r="I15" s="5">
        <f t="shared" si="0"/>
        <v>0</v>
      </c>
      <c r="J15" s="5">
        <f t="shared" si="0"/>
        <v>0</v>
      </c>
    </row>
    <row r="16" spans="1:10" ht="18" customHeight="1">
      <c r="A16" s="3">
        <v>11</v>
      </c>
      <c r="B16" s="4" t="s">
        <v>11</v>
      </c>
      <c r="C16" s="5"/>
      <c r="D16" s="5"/>
      <c r="E16" s="5"/>
      <c r="F16" s="5"/>
      <c r="G16" s="5"/>
      <c r="H16" s="5"/>
      <c r="I16" s="5">
        <f t="shared" si="0"/>
        <v>0</v>
      </c>
      <c r="J16" s="5">
        <f t="shared" si="0"/>
        <v>0</v>
      </c>
    </row>
    <row r="17" spans="1:10" ht="18" customHeight="1">
      <c r="A17" s="3">
        <v>12</v>
      </c>
      <c r="B17" s="4" t="s">
        <v>12</v>
      </c>
      <c r="C17" s="5"/>
      <c r="D17" s="5"/>
      <c r="E17" s="5"/>
      <c r="F17" s="5"/>
      <c r="G17" s="5"/>
      <c r="H17" s="5"/>
      <c r="I17" s="5">
        <f t="shared" si="0"/>
        <v>0</v>
      </c>
      <c r="J17" s="5">
        <f t="shared" si="0"/>
        <v>0</v>
      </c>
    </row>
    <row r="18" spans="1:10" ht="18" customHeight="1">
      <c r="A18" s="3">
        <v>13</v>
      </c>
      <c r="B18" s="4" t="s">
        <v>13</v>
      </c>
      <c r="C18" s="5"/>
      <c r="D18" s="5"/>
      <c r="E18" s="5"/>
      <c r="F18" s="5"/>
      <c r="G18" s="5"/>
      <c r="H18" s="5"/>
      <c r="I18" s="5">
        <f t="shared" si="0"/>
        <v>0</v>
      </c>
      <c r="J18" s="5">
        <f t="shared" si="0"/>
        <v>0</v>
      </c>
    </row>
    <row r="19" spans="1:10" ht="18" customHeight="1">
      <c r="A19" s="3">
        <v>14</v>
      </c>
      <c r="B19" s="4" t="s">
        <v>14</v>
      </c>
      <c r="C19" s="5"/>
      <c r="D19" s="5"/>
      <c r="E19" s="5"/>
      <c r="F19" s="5"/>
      <c r="G19" s="5"/>
      <c r="H19" s="5"/>
      <c r="I19" s="5">
        <f t="shared" si="0"/>
        <v>0</v>
      </c>
      <c r="J19" s="5">
        <f t="shared" si="0"/>
        <v>0</v>
      </c>
    </row>
    <row r="20" spans="1:10" ht="18" customHeight="1">
      <c r="A20" s="3">
        <v>15</v>
      </c>
      <c r="B20" s="4" t="s">
        <v>15</v>
      </c>
      <c r="C20" s="5">
        <v>547.20000000000005</v>
      </c>
      <c r="D20" s="5"/>
      <c r="E20" s="5">
        <v>241.25299999999999</v>
      </c>
      <c r="F20" s="5"/>
      <c r="G20" s="5">
        <v>112.39400000000001</v>
      </c>
      <c r="H20" s="5"/>
      <c r="I20" s="5">
        <f t="shared" si="0"/>
        <v>900.84699999999998</v>
      </c>
      <c r="J20" s="5">
        <f t="shared" si="0"/>
        <v>0</v>
      </c>
    </row>
    <row r="21" spans="1:10" ht="18" customHeight="1">
      <c r="A21" s="3">
        <v>16</v>
      </c>
      <c r="B21" s="4" t="s">
        <v>16</v>
      </c>
      <c r="C21" s="5">
        <v>577</v>
      </c>
      <c r="D21" s="5"/>
      <c r="E21" s="5">
        <v>519.80999999999995</v>
      </c>
      <c r="F21" s="5"/>
      <c r="G21" s="5"/>
      <c r="H21" s="5"/>
      <c r="I21" s="5">
        <f t="shared" si="0"/>
        <v>1096.81</v>
      </c>
      <c r="J21" s="5">
        <f t="shared" si="0"/>
        <v>0</v>
      </c>
    </row>
    <row r="22" spans="1:10" ht="18" customHeight="1">
      <c r="A22" s="3">
        <v>17</v>
      </c>
      <c r="B22" s="4" t="s">
        <v>17</v>
      </c>
      <c r="C22" s="5">
        <v>1621.97</v>
      </c>
      <c r="D22" s="5"/>
      <c r="E22" s="5"/>
      <c r="F22" s="5"/>
      <c r="G22" s="5">
        <v>38.520000000000003</v>
      </c>
      <c r="H22" s="5"/>
      <c r="I22" s="5">
        <f t="shared" si="0"/>
        <v>1660.49</v>
      </c>
      <c r="J22" s="5">
        <f t="shared" si="0"/>
        <v>0</v>
      </c>
    </row>
    <row r="23" spans="1:10" ht="18" customHeight="1">
      <c r="A23" s="3">
        <v>18</v>
      </c>
      <c r="B23" s="4" t="s">
        <v>19</v>
      </c>
      <c r="C23" s="5"/>
      <c r="D23" s="5"/>
      <c r="E23" s="5"/>
      <c r="F23" s="5"/>
      <c r="G23" s="5"/>
      <c r="H23" s="5"/>
      <c r="I23" s="5">
        <f t="shared" si="0"/>
        <v>0</v>
      </c>
      <c r="J23" s="5">
        <f t="shared" si="0"/>
        <v>0</v>
      </c>
    </row>
    <row r="24" spans="1:10" ht="18" customHeight="1">
      <c r="A24" s="3">
        <v>19</v>
      </c>
      <c r="B24" s="4" t="s">
        <v>18</v>
      </c>
      <c r="C24" s="5"/>
      <c r="D24" s="5"/>
      <c r="E24" s="5"/>
      <c r="F24" s="5"/>
      <c r="G24" s="5"/>
      <c r="H24" s="5"/>
      <c r="I24" s="5">
        <f t="shared" si="0"/>
        <v>0</v>
      </c>
      <c r="J24" s="5">
        <f t="shared" si="0"/>
        <v>0</v>
      </c>
    </row>
    <row r="25" spans="1:10" s="23" customFormat="1" ht="18" customHeight="1">
      <c r="A25" s="20" t="s">
        <v>20</v>
      </c>
      <c r="B25" s="24" t="s">
        <v>57</v>
      </c>
      <c r="C25" s="22">
        <f>SUM(C6:C24)</f>
        <v>3167.17</v>
      </c>
      <c r="D25" s="22">
        <f>SUM(D6:D24)</f>
        <v>0</v>
      </c>
      <c r="E25" s="22">
        <f>SUM(E6:E24)</f>
        <v>1338.8989999999999</v>
      </c>
      <c r="F25" s="22">
        <f>SUM(F6:F24)</f>
        <v>0</v>
      </c>
      <c r="G25" s="22">
        <f t="shared" ref="G25:I25" si="1">SUM(G6:G24)</f>
        <v>199.69400000000002</v>
      </c>
      <c r="H25" s="22">
        <f t="shared" si="1"/>
        <v>0</v>
      </c>
      <c r="I25" s="22">
        <f t="shared" si="1"/>
        <v>4705.7629999999999</v>
      </c>
      <c r="J25" s="22">
        <f>SUM(J6:J24)</f>
        <v>0</v>
      </c>
    </row>
    <row r="26" spans="1:10" s="7" customFormat="1" ht="18.75">
      <c r="A26" s="1"/>
      <c r="B26" s="29" t="s">
        <v>59</v>
      </c>
      <c r="C26" s="8"/>
      <c r="D26" s="8"/>
      <c r="E26" s="8"/>
      <c r="F26" s="8"/>
      <c r="G26" s="8"/>
      <c r="H26" s="8"/>
      <c r="I26" s="315" t="s">
        <v>65</v>
      </c>
      <c r="J26" s="316"/>
    </row>
    <row r="27" spans="1:10" ht="18" customHeight="1">
      <c r="A27" s="3">
        <v>20</v>
      </c>
      <c r="B27" s="4" t="s">
        <v>21</v>
      </c>
      <c r="C27" s="5"/>
      <c r="D27" s="5"/>
      <c r="E27" s="5"/>
      <c r="F27" s="5"/>
      <c r="G27" s="5"/>
      <c r="H27" s="5"/>
      <c r="I27" s="5">
        <f>C27+E27+G27</f>
        <v>0</v>
      </c>
      <c r="J27" s="5">
        <f>D27+F27+H27</f>
        <v>0</v>
      </c>
    </row>
    <row r="28" spans="1:10" ht="18" customHeight="1">
      <c r="A28" s="3">
        <v>21</v>
      </c>
      <c r="B28" s="4" t="s">
        <v>22</v>
      </c>
      <c r="C28" s="5"/>
      <c r="D28" s="5"/>
      <c r="E28" s="5"/>
      <c r="F28" s="5"/>
      <c r="G28" s="5"/>
      <c r="H28" s="5"/>
      <c r="I28" s="5">
        <f t="shared" ref="I28:J34" si="2">C28+E28+G28</f>
        <v>0</v>
      </c>
      <c r="J28" s="5">
        <f t="shared" si="2"/>
        <v>0</v>
      </c>
    </row>
    <row r="29" spans="1:10" ht="18" customHeight="1">
      <c r="A29" s="3">
        <v>22</v>
      </c>
      <c r="B29" s="4" t="s">
        <v>23</v>
      </c>
      <c r="C29" s="5"/>
      <c r="D29" s="5"/>
      <c r="E29" s="5"/>
      <c r="F29" s="5"/>
      <c r="G29" s="5"/>
      <c r="H29" s="5"/>
      <c r="I29" s="5">
        <f t="shared" si="2"/>
        <v>0</v>
      </c>
      <c r="J29" s="5">
        <f t="shared" si="2"/>
        <v>0</v>
      </c>
    </row>
    <row r="30" spans="1:10" ht="18" customHeight="1">
      <c r="A30" s="3">
        <v>23</v>
      </c>
      <c r="B30" s="4" t="s">
        <v>24</v>
      </c>
      <c r="C30" s="5"/>
      <c r="D30" s="5"/>
      <c r="E30" s="5"/>
      <c r="F30" s="5"/>
      <c r="G30" s="5"/>
      <c r="H30" s="5"/>
      <c r="I30" s="5">
        <f t="shared" si="2"/>
        <v>0</v>
      </c>
      <c r="J30" s="5">
        <f t="shared" si="2"/>
        <v>0</v>
      </c>
    </row>
    <row r="31" spans="1:10" ht="18" customHeight="1">
      <c r="A31" s="3">
        <v>24</v>
      </c>
      <c r="B31" s="4" t="s">
        <v>25</v>
      </c>
      <c r="C31" s="5"/>
      <c r="D31" s="5"/>
      <c r="E31" s="5"/>
      <c r="F31" s="5"/>
      <c r="G31" s="5"/>
      <c r="H31" s="5"/>
      <c r="I31" s="5">
        <f t="shared" si="2"/>
        <v>0</v>
      </c>
      <c r="J31" s="5">
        <f t="shared" si="2"/>
        <v>0</v>
      </c>
    </row>
    <row r="32" spans="1:10" ht="18" customHeight="1">
      <c r="A32" s="3">
        <v>26</v>
      </c>
      <c r="B32" s="4" t="s">
        <v>26</v>
      </c>
      <c r="C32" s="5"/>
      <c r="D32" s="5"/>
      <c r="E32" s="5"/>
      <c r="F32" s="5"/>
      <c r="G32" s="5"/>
      <c r="H32" s="5"/>
      <c r="I32" s="5">
        <f t="shared" si="2"/>
        <v>0</v>
      </c>
      <c r="J32" s="5">
        <f t="shared" si="2"/>
        <v>0</v>
      </c>
    </row>
    <row r="33" spans="1:10" ht="18" customHeight="1">
      <c r="A33" s="3">
        <v>27</v>
      </c>
      <c r="B33" s="4" t="s">
        <v>27</v>
      </c>
      <c r="C33" s="5"/>
      <c r="D33" s="5"/>
      <c r="E33" s="5"/>
      <c r="F33" s="5"/>
      <c r="G33" s="5"/>
      <c r="H33" s="5"/>
      <c r="I33" s="5">
        <f t="shared" si="2"/>
        <v>0</v>
      </c>
      <c r="J33" s="5">
        <f t="shared" si="2"/>
        <v>0</v>
      </c>
    </row>
    <row r="34" spans="1:10" ht="18" customHeight="1">
      <c r="A34" s="3">
        <v>28</v>
      </c>
      <c r="B34" s="4" t="s">
        <v>28</v>
      </c>
      <c r="C34" s="5"/>
      <c r="D34" s="5"/>
      <c r="E34" s="5"/>
      <c r="F34" s="5"/>
      <c r="G34" s="5"/>
      <c r="H34" s="5"/>
      <c r="I34" s="5">
        <f t="shared" si="2"/>
        <v>0</v>
      </c>
      <c r="J34" s="5">
        <f t="shared" si="2"/>
        <v>0</v>
      </c>
    </row>
    <row r="35" spans="1:10" s="23" customFormat="1" ht="18" customHeight="1">
      <c r="A35" s="20" t="s">
        <v>29</v>
      </c>
      <c r="B35" s="24" t="s">
        <v>58</v>
      </c>
      <c r="C35" s="22">
        <f>SUM(C27:C34)</f>
        <v>0</v>
      </c>
      <c r="D35" s="22">
        <f>SUM(D27:D34)</f>
        <v>0</v>
      </c>
      <c r="E35" s="22">
        <f>SUM(E27:E34)</f>
        <v>0</v>
      </c>
      <c r="F35" s="22">
        <f>SUM(F27:F34)</f>
        <v>0</v>
      </c>
      <c r="G35" s="22">
        <f>SUM(G27:G34)</f>
        <v>0</v>
      </c>
      <c r="H35" s="22">
        <f t="shared" ref="H35:I35" si="3">SUM(H27:H34)</f>
        <v>0</v>
      </c>
      <c r="I35" s="22">
        <f t="shared" si="3"/>
        <v>0</v>
      </c>
      <c r="J35" s="22">
        <f>SUM(J27:J34)</f>
        <v>0</v>
      </c>
    </row>
    <row r="36" spans="1:10" s="7" customFormat="1" ht="18.75">
      <c r="A36" s="1"/>
      <c r="B36" s="30" t="s">
        <v>48</v>
      </c>
      <c r="C36" s="8"/>
      <c r="D36" s="8"/>
      <c r="E36" s="8"/>
      <c r="F36" s="8"/>
      <c r="G36" s="8"/>
      <c r="H36" s="8"/>
      <c r="I36" s="317" t="s">
        <v>66</v>
      </c>
      <c r="J36" s="318"/>
    </row>
    <row r="37" spans="1:10" s="7" customFormat="1">
      <c r="A37" s="3">
        <v>29</v>
      </c>
      <c r="B37" s="13" t="s">
        <v>67</v>
      </c>
      <c r="C37" s="8"/>
      <c r="D37" s="8"/>
      <c r="E37" s="8"/>
      <c r="F37" s="8"/>
      <c r="G37" s="8"/>
      <c r="H37" s="8"/>
      <c r="I37" s="31">
        <v>5</v>
      </c>
      <c r="J37" s="31"/>
    </row>
    <row r="38" spans="1:10" s="7" customFormat="1">
      <c r="A38" s="3">
        <v>30</v>
      </c>
      <c r="B38" s="13" t="s">
        <v>35</v>
      </c>
      <c r="C38" s="8"/>
      <c r="D38" s="8"/>
      <c r="E38" s="8"/>
      <c r="F38" s="8"/>
      <c r="G38" s="8"/>
      <c r="H38" s="8"/>
      <c r="I38" s="31">
        <v>60</v>
      </c>
      <c r="J38" s="31">
        <v>24</v>
      </c>
    </row>
    <row r="39" spans="1:10" s="7" customFormat="1">
      <c r="A39" s="3">
        <v>31</v>
      </c>
      <c r="B39" s="13" t="s">
        <v>68</v>
      </c>
      <c r="C39" s="8"/>
      <c r="D39" s="8"/>
      <c r="E39" s="8"/>
      <c r="F39" s="8"/>
      <c r="G39" s="8"/>
      <c r="H39" s="8"/>
      <c r="I39" s="31">
        <v>10</v>
      </c>
      <c r="J39" s="31"/>
    </row>
    <row r="40" spans="1:10" s="7" customFormat="1">
      <c r="A40" s="3">
        <v>32</v>
      </c>
      <c r="B40" s="13" t="s">
        <v>36</v>
      </c>
      <c r="C40" s="8"/>
      <c r="D40" s="8"/>
      <c r="E40" s="8"/>
      <c r="F40" s="8"/>
      <c r="G40" s="8"/>
      <c r="H40" s="8"/>
      <c r="I40" s="31">
        <v>5</v>
      </c>
      <c r="J40" s="31"/>
    </row>
    <row r="41" spans="1:10" s="7" customFormat="1" ht="18" customHeight="1">
      <c r="A41" s="3">
        <v>33</v>
      </c>
      <c r="B41" s="13" t="s">
        <v>45</v>
      </c>
      <c r="C41" s="8"/>
      <c r="D41" s="8"/>
      <c r="E41" s="8"/>
      <c r="F41" s="8"/>
      <c r="G41" s="8"/>
      <c r="H41" s="8"/>
      <c r="I41" s="31"/>
      <c r="J41" s="31"/>
    </row>
    <row r="42" spans="1:10" s="7" customFormat="1" ht="18" customHeight="1">
      <c r="A42" s="1">
        <v>34</v>
      </c>
      <c r="B42" s="33" t="s">
        <v>41</v>
      </c>
      <c r="C42" s="8"/>
      <c r="D42" s="8"/>
      <c r="E42" s="8"/>
      <c r="F42" s="8"/>
      <c r="G42" s="8"/>
      <c r="H42" s="8"/>
      <c r="I42" s="32">
        <v>250</v>
      </c>
      <c r="J42" s="32"/>
    </row>
    <row r="43" spans="1:10" s="7" customFormat="1" ht="18" customHeight="1">
      <c r="A43" s="3" t="s">
        <v>69</v>
      </c>
      <c r="B43" s="13"/>
      <c r="C43" s="8"/>
      <c r="D43" s="8"/>
      <c r="E43" s="8"/>
      <c r="F43" s="8"/>
      <c r="G43" s="8"/>
      <c r="H43" s="8"/>
      <c r="I43" s="31"/>
      <c r="J43" s="31"/>
    </row>
    <row r="44" spans="1:10" s="7" customFormat="1" ht="18" customHeight="1">
      <c r="A44" s="3" t="s">
        <v>70</v>
      </c>
      <c r="B44" s="13"/>
      <c r="C44" s="8"/>
      <c r="D44" s="8"/>
      <c r="E44" s="8"/>
      <c r="F44" s="8"/>
      <c r="G44" s="8"/>
      <c r="H44" s="8"/>
      <c r="I44" s="31"/>
      <c r="J44" s="31"/>
    </row>
    <row r="45" spans="1:10" s="7" customFormat="1" ht="18" customHeight="1">
      <c r="A45" s="1">
        <v>35</v>
      </c>
      <c r="B45" s="33" t="s">
        <v>42</v>
      </c>
      <c r="C45" s="8"/>
      <c r="D45" s="8"/>
      <c r="E45" s="8"/>
      <c r="F45" s="8"/>
      <c r="G45" s="8"/>
      <c r="H45" s="8"/>
      <c r="I45" s="32">
        <v>200</v>
      </c>
      <c r="J45" s="31"/>
    </row>
    <row r="46" spans="1:10" s="16" customFormat="1" ht="18" customHeight="1">
      <c r="A46" s="34" t="s">
        <v>69</v>
      </c>
      <c r="B46" s="35" t="s">
        <v>143</v>
      </c>
      <c r="C46" s="15"/>
      <c r="D46" s="15"/>
      <c r="E46" s="15"/>
      <c r="F46" s="15"/>
      <c r="G46" s="15"/>
      <c r="H46" s="15"/>
      <c r="I46" s="36">
        <v>67.7</v>
      </c>
      <c r="J46" s="36"/>
    </row>
    <row r="47" spans="1:10" s="7" customFormat="1" ht="18" customHeight="1">
      <c r="A47" s="3">
        <v>36</v>
      </c>
      <c r="B47" s="13" t="s">
        <v>43</v>
      </c>
      <c r="C47" s="8"/>
      <c r="D47" s="8"/>
      <c r="E47" s="8"/>
      <c r="F47" s="8"/>
      <c r="G47" s="8"/>
      <c r="H47" s="8"/>
      <c r="I47" s="31"/>
      <c r="J47" s="31"/>
    </row>
    <row r="48" spans="1:10" s="7" customFormat="1" ht="18" customHeight="1">
      <c r="A48" s="3">
        <v>37</v>
      </c>
      <c r="B48" s="13" t="s">
        <v>44</v>
      </c>
      <c r="C48" s="8"/>
      <c r="D48" s="8"/>
      <c r="E48" s="8"/>
      <c r="F48" s="8"/>
      <c r="G48" s="8"/>
      <c r="H48" s="8"/>
      <c r="I48" s="31"/>
      <c r="J48" s="31"/>
    </row>
    <row r="49" spans="1:13" s="7" customFormat="1" ht="18" customHeight="1">
      <c r="A49" s="3">
        <v>38</v>
      </c>
      <c r="B49" s="13" t="s">
        <v>40</v>
      </c>
      <c r="C49" s="8"/>
      <c r="D49" s="8"/>
      <c r="E49" s="8"/>
      <c r="F49" s="8"/>
      <c r="G49" s="8"/>
      <c r="H49" s="8"/>
      <c r="I49" s="31">
        <v>50</v>
      </c>
      <c r="J49" s="31"/>
    </row>
    <row r="50" spans="1:13" s="7" customFormat="1" ht="18" customHeight="1">
      <c r="A50" s="1">
        <v>39</v>
      </c>
      <c r="B50" s="33" t="s">
        <v>144</v>
      </c>
      <c r="C50" s="8"/>
      <c r="D50" s="8"/>
      <c r="E50" s="8"/>
      <c r="F50" s="8"/>
      <c r="G50" s="8"/>
      <c r="H50" s="8"/>
      <c r="I50" s="32">
        <f>SUM(I51:I55)</f>
        <v>1570.97</v>
      </c>
      <c r="J50" s="32">
        <f>SUM(J51:J55)</f>
        <v>0</v>
      </c>
    </row>
    <row r="51" spans="1:13" s="16" customFormat="1" ht="18" customHeight="1">
      <c r="A51" s="34" t="s">
        <v>69</v>
      </c>
      <c r="B51" s="35" t="s">
        <v>74</v>
      </c>
      <c r="C51" s="15"/>
      <c r="D51" s="15"/>
      <c r="E51" s="15"/>
      <c r="F51" s="15"/>
      <c r="G51" s="15"/>
      <c r="H51" s="15"/>
      <c r="I51" s="36"/>
      <c r="J51" s="36"/>
    </row>
    <row r="52" spans="1:13" s="16" customFormat="1" ht="18" customHeight="1">
      <c r="A52" s="34" t="s">
        <v>70</v>
      </c>
      <c r="B52" s="35" t="s">
        <v>75</v>
      </c>
      <c r="C52" s="15"/>
      <c r="D52" s="15"/>
      <c r="E52" s="15"/>
      <c r="F52" s="15"/>
      <c r="G52" s="15"/>
      <c r="H52" s="15"/>
      <c r="I52" s="36">
        <v>645.64</v>
      </c>
      <c r="J52" s="36"/>
    </row>
    <row r="53" spans="1:13" s="16" customFormat="1" ht="18" customHeight="1">
      <c r="A53" s="34" t="s">
        <v>71</v>
      </c>
      <c r="B53" s="35" t="s">
        <v>76</v>
      </c>
      <c r="C53" s="15"/>
      <c r="D53" s="15"/>
      <c r="E53" s="15"/>
      <c r="F53" s="15"/>
      <c r="G53" s="15"/>
      <c r="H53" s="15"/>
      <c r="I53" s="36">
        <v>575.33000000000004</v>
      </c>
      <c r="J53" s="36"/>
    </row>
    <row r="54" spans="1:13" s="16" customFormat="1" ht="18" customHeight="1">
      <c r="A54" s="34" t="s">
        <v>72</v>
      </c>
      <c r="B54" s="35" t="s">
        <v>77</v>
      </c>
      <c r="C54" s="15"/>
      <c r="D54" s="15"/>
      <c r="E54" s="15"/>
      <c r="F54" s="15"/>
      <c r="G54" s="15"/>
      <c r="H54" s="15"/>
      <c r="I54" s="36">
        <v>227.5</v>
      </c>
      <c r="J54" s="36"/>
    </row>
    <row r="55" spans="1:13" s="16" customFormat="1" ht="18" customHeight="1">
      <c r="A55" s="34" t="s">
        <v>73</v>
      </c>
      <c r="B55" s="35" t="s">
        <v>78</v>
      </c>
      <c r="C55" s="15"/>
      <c r="D55" s="15"/>
      <c r="E55" s="15"/>
      <c r="F55" s="15"/>
      <c r="G55" s="15"/>
      <c r="H55" s="15"/>
      <c r="I55" s="36">
        <v>122.5</v>
      </c>
      <c r="J55" s="36"/>
    </row>
    <row r="56" spans="1:13" s="23" customFormat="1" ht="18" customHeight="1">
      <c r="A56" s="20" t="s">
        <v>30</v>
      </c>
      <c r="B56" s="21" t="s">
        <v>61</v>
      </c>
      <c r="C56" s="22"/>
      <c r="D56" s="22"/>
      <c r="E56" s="22"/>
      <c r="F56" s="22"/>
      <c r="G56" s="22"/>
      <c r="H56" s="22"/>
      <c r="I56" s="22">
        <f>SUM(I37:I45)+SUM(I47:I50)</f>
        <v>2150.9700000000003</v>
      </c>
      <c r="J56" s="22">
        <f>SUM(J37:J50)</f>
        <v>24</v>
      </c>
    </row>
    <row r="57" spans="1:13" s="16" customFormat="1" ht="18.75">
      <c r="A57" s="14"/>
      <c r="B57" s="30" t="s">
        <v>46</v>
      </c>
      <c r="C57" s="15"/>
      <c r="D57" s="15"/>
      <c r="E57" s="15"/>
      <c r="F57" s="15"/>
      <c r="G57" s="15"/>
      <c r="H57" s="15"/>
      <c r="I57" s="15"/>
      <c r="J57" s="15"/>
    </row>
    <row r="58" spans="1:13" s="7" customFormat="1" ht="18" customHeight="1">
      <c r="A58" s="3">
        <v>40</v>
      </c>
      <c r="B58" s="4" t="s">
        <v>47</v>
      </c>
      <c r="C58" s="8"/>
      <c r="D58" s="8"/>
      <c r="E58" s="8"/>
      <c r="F58" s="8"/>
      <c r="G58" s="8"/>
      <c r="H58" s="8"/>
      <c r="I58" s="8">
        <v>300</v>
      </c>
      <c r="J58" s="8"/>
    </row>
    <row r="59" spans="1:13" s="23" customFormat="1" ht="18" customHeight="1">
      <c r="A59" s="20" t="s">
        <v>49</v>
      </c>
      <c r="B59" s="21" t="s">
        <v>62</v>
      </c>
      <c r="C59" s="22"/>
      <c r="D59" s="22"/>
      <c r="E59" s="22"/>
      <c r="F59" s="22"/>
      <c r="G59" s="22"/>
      <c r="H59" s="22"/>
      <c r="I59" s="22">
        <f>I58</f>
        <v>300</v>
      </c>
      <c r="J59" s="22">
        <f>J58</f>
        <v>0</v>
      </c>
    </row>
    <row r="60" spans="1:13" s="19" customFormat="1" ht="21.75" thickBot="1">
      <c r="A60" s="17"/>
      <c r="B60" s="18" t="s">
        <v>50</v>
      </c>
      <c r="C60" s="28">
        <f>C25+C35</f>
        <v>3167.17</v>
      </c>
      <c r="D60" s="28">
        <f t="shared" ref="D60:H60" si="4">D25+D35</f>
        <v>0</v>
      </c>
      <c r="E60" s="28">
        <f t="shared" si="4"/>
        <v>1338.8989999999999</v>
      </c>
      <c r="F60" s="28">
        <f t="shared" si="4"/>
        <v>0</v>
      </c>
      <c r="G60" s="28">
        <f t="shared" si="4"/>
        <v>199.69400000000002</v>
      </c>
      <c r="H60" s="28">
        <f t="shared" si="4"/>
        <v>0</v>
      </c>
      <c r="I60" s="28">
        <f>I25+I35+I56+I59</f>
        <v>7156.7330000000002</v>
      </c>
      <c r="J60" s="28">
        <f>J25+J35+J56+J59</f>
        <v>24</v>
      </c>
    </row>
    <row r="61" spans="1:13" s="7" customFormat="1" ht="18" customHeight="1" thickTop="1">
      <c r="A61" s="25"/>
      <c r="B61" s="26"/>
      <c r="C61" s="27"/>
      <c r="D61" s="27"/>
      <c r="E61" s="27"/>
      <c r="F61" s="27"/>
      <c r="G61" s="27"/>
      <c r="H61" s="27"/>
      <c r="I61" s="27"/>
      <c r="J61" s="27"/>
    </row>
    <row r="62" spans="1:13" s="7" customFormat="1" ht="21">
      <c r="A62" s="319" t="s">
        <v>56</v>
      </c>
      <c r="B62" s="319"/>
      <c r="C62" s="319"/>
      <c r="D62" s="319"/>
      <c r="E62" s="319"/>
      <c r="F62" s="319"/>
      <c r="G62" s="319"/>
      <c r="H62" s="319"/>
      <c r="I62" s="319"/>
      <c r="J62" s="319"/>
    </row>
    <row r="63" spans="1:13" s="10" customFormat="1" ht="21.75" customHeight="1">
      <c r="A63" s="37">
        <v>1</v>
      </c>
      <c r="B63" s="38" t="s">
        <v>31</v>
      </c>
      <c r="C63" s="39"/>
      <c r="D63" s="40"/>
      <c r="E63" s="40"/>
      <c r="F63" s="40"/>
      <c r="G63" s="40"/>
      <c r="H63" s="41"/>
      <c r="I63" s="42">
        <f>(I25+I35)/100</f>
        <v>47.057629999999996</v>
      </c>
      <c r="J63" s="42">
        <f>(J25+J35)/100</f>
        <v>0</v>
      </c>
      <c r="M63" s="12"/>
    </row>
    <row r="64" spans="1:13" s="10" customFormat="1" ht="21.75" customHeight="1">
      <c r="A64" s="37">
        <v>2</v>
      </c>
      <c r="B64" s="38" t="s">
        <v>32</v>
      </c>
      <c r="C64" s="43"/>
      <c r="D64" s="43"/>
      <c r="E64" s="43"/>
      <c r="F64" s="43"/>
      <c r="G64" s="43"/>
      <c r="H64" s="43"/>
      <c r="I64" s="42">
        <f>(I56)/100</f>
        <v>21.509700000000002</v>
      </c>
      <c r="J64" s="42">
        <f>(J56)/100</f>
        <v>0.24</v>
      </c>
    </row>
    <row r="65" spans="1:10" s="10" customFormat="1" ht="21.75" customHeight="1">
      <c r="A65" s="44"/>
      <c r="B65" s="45" t="s">
        <v>63</v>
      </c>
      <c r="C65" s="46"/>
      <c r="D65" s="46"/>
      <c r="E65" s="46"/>
      <c r="F65" s="46"/>
      <c r="G65" s="46"/>
      <c r="H65" s="46"/>
      <c r="I65" s="47">
        <f>SUM(I63:I64)</f>
        <v>68.567329999999998</v>
      </c>
      <c r="J65" s="47">
        <f>SUM(J63:J64)</f>
        <v>0.24</v>
      </c>
    </row>
    <row r="66" spans="1:10" s="10" customFormat="1" ht="21.75" customHeight="1">
      <c r="A66" s="37">
        <v>3</v>
      </c>
      <c r="B66" s="38" t="s">
        <v>33</v>
      </c>
      <c r="C66" s="43"/>
      <c r="D66" s="43"/>
      <c r="E66" s="43"/>
      <c r="F66" s="43"/>
      <c r="G66" s="43"/>
      <c r="H66" s="43"/>
      <c r="I66" s="42">
        <f>(I58)/100</f>
        <v>3</v>
      </c>
      <c r="J66" s="42">
        <f>(J58)/100</f>
        <v>0</v>
      </c>
    </row>
    <row r="67" spans="1:10" ht="21.75" customHeight="1">
      <c r="A67" s="44"/>
      <c r="B67" s="45" t="s">
        <v>55</v>
      </c>
      <c r="C67" s="48"/>
      <c r="D67" s="49"/>
      <c r="E67" s="49"/>
      <c r="F67" s="49"/>
      <c r="G67" s="49"/>
      <c r="H67" s="50"/>
      <c r="I67" s="47">
        <f>SUM(I65:I66)</f>
        <v>71.567329999999998</v>
      </c>
      <c r="J67" s="47">
        <f>SUM(J65:J66)</f>
        <v>0.24</v>
      </c>
    </row>
  </sheetData>
  <mergeCells count="12">
    <mergeCell ref="I5:J5"/>
    <mergeCell ref="I26:J26"/>
    <mergeCell ref="I36:J36"/>
    <mergeCell ref="A62:J62"/>
    <mergeCell ref="A1:J1"/>
    <mergeCell ref="A2:J2"/>
    <mergeCell ref="A3:A4"/>
    <mergeCell ref="B3:B4"/>
    <mergeCell ref="C3:D3"/>
    <mergeCell ref="E3:F3"/>
    <mergeCell ref="G3:H3"/>
    <mergeCell ref="I3:J3"/>
  </mergeCells>
  <printOptions horizontalCentered="1"/>
  <pageMargins left="0.25" right="0.25" top="0.25" bottom="0.5" header="0.25" footer="0.5"/>
  <pageSetup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topLeftCell="A31" zoomScale="110" zoomScaleNormal="110" workbookViewId="0">
      <selection activeCell="G22" sqref="G22"/>
    </sheetView>
  </sheetViews>
  <sheetFormatPr defaultColWidth="9.140625" defaultRowHeight="15.75"/>
  <cols>
    <col min="1" max="1" width="5" style="9" customWidth="1"/>
    <col min="2" max="2" width="44.140625" style="6" customWidth="1"/>
    <col min="3" max="8" width="12.7109375" style="6" customWidth="1"/>
    <col min="9" max="10" width="13.85546875" style="6" customWidth="1"/>
    <col min="11" max="16384" width="9.140625" style="6"/>
  </cols>
  <sheetData>
    <row r="1" spans="1:10" ht="47.25" customHeight="1">
      <c r="A1" s="320" t="s">
        <v>142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>
      <c r="A2" s="322" t="s">
        <v>37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s="7" customFormat="1" ht="18.75">
      <c r="A3" s="286" t="s">
        <v>0</v>
      </c>
      <c r="B3" s="288" t="s">
        <v>34</v>
      </c>
      <c r="C3" s="272" t="s">
        <v>51</v>
      </c>
      <c r="D3" s="272"/>
      <c r="E3" s="272" t="s">
        <v>52</v>
      </c>
      <c r="F3" s="272"/>
      <c r="G3" s="272" t="s">
        <v>53</v>
      </c>
      <c r="H3" s="272"/>
      <c r="I3" s="271" t="s">
        <v>38</v>
      </c>
      <c r="J3" s="272"/>
    </row>
    <row r="4" spans="1:10" s="7" customFormat="1" ht="34.5" customHeight="1">
      <c r="A4" s="287"/>
      <c r="B4" s="288"/>
      <c r="C4" s="11" t="s">
        <v>39</v>
      </c>
      <c r="D4" s="11" t="s">
        <v>79</v>
      </c>
      <c r="E4" s="11" t="s">
        <v>39</v>
      </c>
      <c r="F4" s="11" t="s">
        <v>79</v>
      </c>
      <c r="G4" s="11" t="s">
        <v>39</v>
      </c>
      <c r="H4" s="11" t="s">
        <v>79</v>
      </c>
      <c r="I4" s="11" t="s">
        <v>39</v>
      </c>
      <c r="J4" s="11" t="s">
        <v>79</v>
      </c>
    </row>
    <row r="5" spans="1:10" s="7" customFormat="1" ht="18.75">
      <c r="A5" s="1"/>
      <c r="B5" s="29" t="s">
        <v>60</v>
      </c>
      <c r="C5" s="2"/>
      <c r="D5" s="2"/>
      <c r="E5" s="2"/>
      <c r="F5" s="2"/>
      <c r="G5" s="2"/>
      <c r="H5" s="2"/>
      <c r="I5" s="315" t="s">
        <v>64</v>
      </c>
      <c r="J5" s="316"/>
    </row>
    <row r="6" spans="1:10" ht="18" customHeight="1">
      <c r="A6" s="3">
        <v>1</v>
      </c>
      <c r="B6" s="4" t="s">
        <v>1</v>
      </c>
      <c r="C6" s="5">
        <v>1751</v>
      </c>
      <c r="D6" s="5"/>
      <c r="E6" s="5">
        <v>4101.21</v>
      </c>
      <c r="F6" s="5"/>
      <c r="G6" s="5"/>
      <c r="H6" s="5"/>
      <c r="I6" s="5">
        <f>C6+E6+G6</f>
        <v>5852.21</v>
      </c>
      <c r="J6" s="5">
        <f>D6+F6+H6</f>
        <v>0</v>
      </c>
    </row>
    <row r="7" spans="1:10" ht="18" customHeight="1">
      <c r="A7" s="3">
        <v>2</v>
      </c>
      <c r="B7" s="4" t="s">
        <v>2</v>
      </c>
      <c r="C7" s="5">
        <v>176</v>
      </c>
      <c r="D7" s="5"/>
      <c r="E7" s="5"/>
      <c r="F7" s="5"/>
      <c r="G7" s="5"/>
      <c r="H7" s="5"/>
      <c r="I7" s="5">
        <f t="shared" ref="I7:J24" si="0">C7+E7+G7</f>
        <v>176</v>
      </c>
      <c r="J7" s="5">
        <f t="shared" si="0"/>
        <v>0</v>
      </c>
    </row>
    <row r="8" spans="1:10" ht="18" customHeight="1">
      <c r="A8" s="3">
        <v>3</v>
      </c>
      <c r="B8" s="4" t="s">
        <v>3</v>
      </c>
      <c r="C8" s="5">
        <v>421</v>
      </c>
      <c r="D8" s="5"/>
      <c r="E8" s="5">
        <v>618.04999999999995</v>
      </c>
      <c r="F8" s="5"/>
      <c r="G8" s="5"/>
      <c r="H8" s="5"/>
      <c r="I8" s="5">
        <f t="shared" si="0"/>
        <v>1039.05</v>
      </c>
      <c r="J8" s="5">
        <f t="shared" si="0"/>
        <v>0</v>
      </c>
    </row>
    <row r="9" spans="1:10" ht="18" customHeight="1">
      <c r="A9" s="3">
        <v>4</v>
      </c>
      <c r="B9" s="4" t="s">
        <v>4</v>
      </c>
      <c r="C9" s="5">
        <v>3876</v>
      </c>
      <c r="D9" s="5"/>
      <c r="E9" s="5">
        <v>137.66999999999999</v>
      </c>
      <c r="F9" s="5"/>
      <c r="G9" s="5"/>
      <c r="H9" s="5"/>
      <c r="I9" s="5">
        <f t="shared" si="0"/>
        <v>4013.67</v>
      </c>
      <c r="J9" s="5">
        <f t="shared" si="0"/>
        <v>0</v>
      </c>
    </row>
    <row r="10" spans="1:10" ht="18" customHeight="1">
      <c r="A10" s="3">
        <v>5</v>
      </c>
      <c r="B10" s="4" t="s">
        <v>5</v>
      </c>
      <c r="C10" s="5">
        <v>787</v>
      </c>
      <c r="D10" s="5"/>
      <c r="E10" s="5"/>
      <c r="F10" s="5"/>
      <c r="G10" s="5"/>
      <c r="H10" s="5"/>
      <c r="I10" s="5">
        <f t="shared" si="0"/>
        <v>787</v>
      </c>
      <c r="J10" s="5">
        <f t="shared" si="0"/>
        <v>0</v>
      </c>
    </row>
    <row r="11" spans="1:10" ht="18" customHeight="1">
      <c r="A11" s="3">
        <v>6</v>
      </c>
      <c r="B11" s="4" t="s">
        <v>6</v>
      </c>
      <c r="C11" s="5">
        <v>91</v>
      </c>
      <c r="D11" s="5"/>
      <c r="E11" s="5"/>
      <c r="F11" s="5"/>
      <c r="G11" s="5">
        <v>11</v>
      </c>
      <c r="H11" s="5"/>
      <c r="I11" s="5">
        <f t="shared" si="0"/>
        <v>102</v>
      </c>
      <c r="J11" s="5">
        <f t="shared" si="0"/>
        <v>0</v>
      </c>
    </row>
    <row r="12" spans="1:10" ht="18" customHeight="1">
      <c r="A12" s="3">
        <v>7</v>
      </c>
      <c r="B12" s="4" t="s">
        <v>7</v>
      </c>
      <c r="C12" s="5">
        <v>381</v>
      </c>
      <c r="D12" s="5"/>
      <c r="E12" s="5"/>
      <c r="F12" s="5"/>
      <c r="G12" s="5"/>
      <c r="H12" s="5"/>
      <c r="I12" s="5">
        <f t="shared" si="0"/>
        <v>381</v>
      </c>
      <c r="J12" s="5">
        <f t="shared" si="0"/>
        <v>0</v>
      </c>
    </row>
    <row r="13" spans="1:10" ht="18" customHeight="1">
      <c r="A13" s="3">
        <v>8</v>
      </c>
      <c r="B13" s="4" t="s">
        <v>8</v>
      </c>
      <c r="C13" s="5">
        <v>2018</v>
      </c>
      <c r="D13" s="5"/>
      <c r="E13" s="5">
        <v>602.69000000000005</v>
      </c>
      <c r="F13" s="5"/>
      <c r="G13" s="5">
        <v>20</v>
      </c>
      <c r="H13" s="5"/>
      <c r="I13" s="5">
        <f t="shared" si="0"/>
        <v>2640.69</v>
      </c>
      <c r="J13" s="5">
        <f t="shared" si="0"/>
        <v>0</v>
      </c>
    </row>
    <row r="14" spans="1:10" ht="18" customHeight="1">
      <c r="A14" s="3">
        <v>9</v>
      </c>
      <c r="B14" s="4" t="s">
        <v>9</v>
      </c>
      <c r="C14" s="5"/>
      <c r="D14" s="5"/>
      <c r="E14" s="5">
        <v>13.86</v>
      </c>
      <c r="F14" s="5"/>
      <c r="G14" s="5"/>
      <c r="H14" s="5"/>
      <c r="I14" s="5">
        <f t="shared" si="0"/>
        <v>13.86</v>
      </c>
      <c r="J14" s="5">
        <f t="shared" si="0"/>
        <v>0</v>
      </c>
    </row>
    <row r="15" spans="1:10" ht="18" customHeight="1">
      <c r="A15" s="3">
        <v>10</v>
      </c>
      <c r="B15" s="4" t="s">
        <v>10</v>
      </c>
      <c r="C15" s="5">
        <v>10717</v>
      </c>
      <c r="D15" s="5"/>
      <c r="E15" s="5"/>
      <c r="F15" s="5"/>
      <c r="G15" s="5">
        <v>26</v>
      </c>
      <c r="H15" s="5"/>
      <c r="I15" s="5">
        <f t="shared" si="0"/>
        <v>10743</v>
      </c>
      <c r="J15" s="5">
        <f t="shared" si="0"/>
        <v>0</v>
      </c>
    </row>
    <row r="16" spans="1:10" ht="18" customHeight="1">
      <c r="A16" s="3">
        <v>11</v>
      </c>
      <c r="B16" s="4" t="s">
        <v>11</v>
      </c>
      <c r="C16" s="5">
        <v>5853</v>
      </c>
      <c r="D16" s="5"/>
      <c r="E16" s="5"/>
      <c r="F16" s="5"/>
      <c r="G16" s="5">
        <v>81</v>
      </c>
      <c r="H16" s="5"/>
      <c r="I16" s="5">
        <f t="shared" si="0"/>
        <v>5934</v>
      </c>
      <c r="J16" s="5">
        <f t="shared" si="0"/>
        <v>0</v>
      </c>
    </row>
    <row r="17" spans="1:10" ht="18" customHeight="1">
      <c r="A17" s="3">
        <v>12</v>
      </c>
      <c r="B17" s="4" t="s">
        <v>12</v>
      </c>
      <c r="C17" s="5">
        <v>326</v>
      </c>
      <c r="D17" s="5"/>
      <c r="E17" s="5">
        <v>303.43</v>
      </c>
      <c r="F17" s="5"/>
      <c r="G17" s="5">
        <v>50</v>
      </c>
      <c r="H17" s="5"/>
      <c r="I17" s="5">
        <f t="shared" si="0"/>
        <v>679.43000000000006</v>
      </c>
      <c r="J17" s="5">
        <f t="shared" si="0"/>
        <v>0</v>
      </c>
    </row>
    <row r="18" spans="1:10" ht="18" customHeight="1">
      <c r="A18" s="3">
        <v>13</v>
      </c>
      <c r="B18" s="4" t="s">
        <v>13</v>
      </c>
      <c r="C18" s="5">
        <v>70</v>
      </c>
      <c r="D18" s="5"/>
      <c r="E18" s="5"/>
      <c r="F18" s="5"/>
      <c r="G18" s="5"/>
      <c r="H18" s="5"/>
      <c r="I18" s="5">
        <f t="shared" si="0"/>
        <v>70</v>
      </c>
      <c r="J18" s="5">
        <f t="shared" si="0"/>
        <v>0</v>
      </c>
    </row>
    <row r="19" spans="1:10" ht="18" customHeight="1">
      <c r="A19" s="3">
        <v>14</v>
      </c>
      <c r="B19" s="4" t="s">
        <v>14</v>
      </c>
      <c r="C19" s="5">
        <v>7027</v>
      </c>
      <c r="D19" s="5"/>
      <c r="E19" s="5"/>
      <c r="F19" s="5"/>
      <c r="G19" s="5">
        <v>280</v>
      </c>
      <c r="H19" s="5"/>
      <c r="I19" s="5">
        <f t="shared" si="0"/>
        <v>7307</v>
      </c>
      <c r="J19" s="5">
        <f t="shared" si="0"/>
        <v>0</v>
      </c>
    </row>
    <row r="20" spans="1:10" ht="18" customHeight="1">
      <c r="A20" s="3">
        <v>15</v>
      </c>
      <c r="B20" s="4" t="s">
        <v>15</v>
      </c>
      <c r="C20" s="5">
        <v>582</v>
      </c>
      <c r="D20" s="5"/>
      <c r="E20" s="5">
        <v>403.63</v>
      </c>
      <c r="F20" s="5"/>
      <c r="G20" s="5">
        <v>113</v>
      </c>
      <c r="H20" s="5"/>
      <c r="I20" s="5">
        <f t="shared" si="0"/>
        <v>1098.6300000000001</v>
      </c>
      <c r="J20" s="5">
        <f t="shared" si="0"/>
        <v>0</v>
      </c>
    </row>
    <row r="21" spans="1:10" ht="18" customHeight="1">
      <c r="A21" s="3">
        <v>16</v>
      </c>
      <c r="B21" s="4" t="s">
        <v>16</v>
      </c>
      <c r="C21" s="5">
        <v>637</v>
      </c>
      <c r="D21" s="5"/>
      <c r="E21" s="5">
        <v>651.61</v>
      </c>
      <c r="F21" s="5"/>
      <c r="G21" s="5"/>
      <c r="H21" s="5"/>
      <c r="I21" s="5">
        <f t="shared" si="0"/>
        <v>1288.6100000000001</v>
      </c>
      <c r="J21" s="5">
        <f t="shared" si="0"/>
        <v>0</v>
      </c>
    </row>
    <row r="22" spans="1:10" ht="18" customHeight="1">
      <c r="A22" s="3">
        <v>17</v>
      </c>
      <c r="B22" s="4" t="s">
        <v>17</v>
      </c>
      <c r="C22" s="5">
        <v>1622</v>
      </c>
      <c r="D22" s="5"/>
      <c r="E22" s="5"/>
      <c r="F22" s="5"/>
      <c r="G22" s="5">
        <v>50</v>
      </c>
      <c r="H22" s="5"/>
      <c r="I22" s="5">
        <f t="shared" si="0"/>
        <v>1672</v>
      </c>
      <c r="J22" s="5">
        <f t="shared" si="0"/>
        <v>0</v>
      </c>
    </row>
    <row r="23" spans="1:10" ht="18" customHeight="1">
      <c r="A23" s="3">
        <v>18</v>
      </c>
      <c r="B23" s="4" t="s">
        <v>19</v>
      </c>
      <c r="C23" s="5">
        <v>46</v>
      </c>
      <c r="D23" s="5"/>
      <c r="E23" s="5"/>
      <c r="F23" s="5"/>
      <c r="G23" s="5">
        <v>19</v>
      </c>
      <c r="H23" s="5"/>
      <c r="I23" s="5">
        <f t="shared" si="0"/>
        <v>65</v>
      </c>
      <c r="J23" s="5">
        <f t="shared" si="0"/>
        <v>0</v>
      </c>
    </row>
    <row r="24" spans="1:10" ht="18" customHeight="1">
      <c r="A24" s="3">
        <v>19</v>
      </c>
      <c r="B24" s="4" t="s">
        <v>18</v>
      </c>
      <c r="C24" s="5">
        <v>1094</v>
      </c>
      <c r="D24" s="5"/>
      <c r="E24" s="5">
        <v>42.85</v>
      </c>
      <c r="F24" s="5"/>
      <c r="G24" s="5"/>
      <c r="H24" s="5"/>
      <c r="I24" s="5">
        <f t="shared" si="0"/>
        <v>1136.8499999999999</v>
      </c>
      <c r="J24" s="5">
        <f t="shared" si="0"/>
        <v>0</v>
      </c>
    </row>
    <row r="25" spans="1:10" s="23" customFormat="1" ht="18" customHeight="1">
      <c r="A25" s="20" t="s">
        <v>20</v>
      </c>
      <c r="B25" s="24" t="s">
        <v>57</v>
      </c>
      <c r="C25" s="22">
        <f>SUM(C6:C24)</f>
        <v>37475</v>
      </c>
      <c r="D25" s="22">
        <f>SUM(D6:D24)</f>
        <v>0</v>
      </c>
      <c r="E25" s="22">
        <f>SUM(E6:E24)</f>
        <v>6875.0000000000009</v>
      </c>
      <c r="F25" s="22">
        <f>SUM(F6:F24)</f>
        <v>0</v>
      </c>
      <c r="G25" s="22">
        <f t="shared" ref="G25:I25" si="1">SUM(G6:G24)</f>
        <v>650</v>
      </c>
      <c r="H25" s="22">
        <f t="shared" si="1"/>
        <v>0</v>
      </c>
      <c r="I25" s="22">
        <f t="shared" si="1"/>
        <v>45000</v>
      </c>
      <c r="J25" s="22">
        <f>SUM(J6:J24)</f>
        <v>0</v>
      </c>
    </row>
    <row r="26" spans="1:10" s="7" customFormat="1" ht="18.75">
      <c r="A26" s="1"/>
      <c r="B26" s="29" t="s">
        <v>59</v>
      </c>
      <c r="C26" s="8"/>
      <c r="D26" s="8"/>
      <c r="E26" s="8"/>
      <c r="F26" s="8"/>
      <c r="G26" s="8"/>
      <c r="H26" s="8"/>
      <c r="I26" s="315" t="s">
        <v>65</v>
      </c>
      <c r="J26" s="316"/>
    </row>
    <row r="27" spans="1:10" ht="18" customHeight="1">
      <c r="A27" s="3">
        <v>20</v>
      </c>
      <c r="B27" s="4" t="s">
        <v>21</v>
      </c>
      <c r="C27" s="5">
        <v>143</v>
      </c>
      <c r="D27" s="5"/>
      <c r="E27" s="5">
        <v>460.78</v>
      </c>
      <c r="F27" s="5"/>
      <c r="G27" s="5">
        <v>10</v>
      </c>
      <c r="H27" s="5"/>
      <c r="I27" s="5">
        <f>C27+E27+G27</f>
        <v>613.78</v>
      </c>
      <c r="J27" s="5">
        <f>D27+F27+H27</f>
        <v>0</v>
      </c>
    </row>
    <row r="28" spans="1:10" ht="18" customHeight="1">
      <c r="A28" s="3">
        <v>21</v>
      </c>
      <c r="B28" s="4" t="s">
        <v>22</v>
      </c>
      <c r="C28" s="5">
        <v>1312</v>
      </c>
      <c r="D28" s="5"/>
      <c r="E28" s="5">
        <v>496.06</v>
      </c>
      <c r="F28" s="5"/>
      <c r="G28" s="5"/>
      <c r="H28" s="5"/>
      <c r="I28" s="5">
        <f t="shared" ref="I28:J34" si="2">C28+E28+G28</f>
        <v>1808.06</v>
      </c>
      <c r="J28" s="5">
        <f t="shared" si="2"/>
        <v>0</v>
      </c>
    </row>
    <row r="29" spans="1:10" ht="18" customHeight="1">
      <c r="A29" s="3">
        <v>22</v>
      </c>
      <c r="B29" s="4" t="s">
        <v>23</v>
      </c>
      <c r="C29" s="5">
        <v>168</v>
      </c>
      <c r="D29" s="5"/>
      <c r="E29" s="5"/>
      <c r="F29" s="5"/>
      <c r="G29" s="5"/>
      <c r="H29" s="5"/>
      <c r="I29" s="5">
        <f t="shared" si="2"/>
        <v>168</v>
      </c>
      <c r="J29" s="5">
        <f t="shared" si="2"/>
        <v>0</v>
      </c>
    </row>
    <row r="30" spans="1:10" ht="18" customHeight="1">
      <c r="A30" s="3">
        <v>23</v>
      </c>
      <c r="B30" s="4" t="s">
        <v>24</v>
      </c>
      <c r="C30" s="5">
        <v>54</v>
      </c>
      <c r="D30" s="5"/>
      <c r="E30" s="5"/>
      <c r="F30" s="5"/>
      <c r="G30" s="5"/>
      <c r="H30" s="5"/>
      <c r="I30" s="5">
        <f t="shared" si="2"/>
        <v>54</v>
      </c>
      <c r="J30" s="5">
        <f t="shared" si="2"/>
        <v>0</v>
      </c>
    </row>
    <row r="31" spans="1:10" ht="18" customHeight="1">
      <c r="A31" s="3">
        <v>24</v>
      </c>
      <c r="B31" s="4" t="s">
        <v>25</v>
      </c>
      <c r="C31" s="5">
        <v>9</v>
      </c>
      <c r="D31" s="5"/>
      <c r="E31" s="5">
        <v>1364.89</v>
      </c>
      <c r="F31" s="5"/>
      <c r="G31" s="5">
        <v>171</v>
      </c>
      <c r="H31" s="5"/>
      <c r="I31" s="5">
        <f t="shared" si="2"/>
        <v>1544.89</v>
      </c>
      <c r="J31" s="5">
        <f t="shared" si="2"/>
        <v>0</v>
      </c>
    </row>
    <row r="32" spans="1:10" ht="18" customHeight="1">
      <c r="A32" s="3">
        <v>26</v>
      </c>
      <c r="B32" s="4" t="s">
        <v>26</v>
      </c>
      <c r="C32" s="5">
        <v>277</v>
      </c>
      <c r="D32" s="5"/>
      <c r="E32" s="5">
        <v>403.27</v>
      </c>
      <c r="F32" s="5"/>
      <c r="G32" s="5"/>
      <c r="H32" s="5"/>
      <c r="I32" s="5">
        <f t="shared" si="2"/>
        <v>680.27</v>
      </c>
      <c r="J32" s="5">
        <f t="shared" si="2"/>
        <v>0</v>
      </c>
    </row>
    <row r="33" spans="1:10" ht="18" customHeight="1">
      <c r="A33" s="3">
        <v>27</v>
      </c>
      <c r="B33" s="4" t="s">
        <v>27</v>
      </c>
      <c r="C33" s="5">
        <v>34</v>
      </c>
      <c r="D33" s="5"/>
      <c r="E33" s="5"/>
      <c r="F33" s="5"/>
      <c r="G33" s="5"/>
      <c r="H33" s="5"/>
      <c r="I33" s="5">
        <f t="shared" si="2"/>
        <v>34</v>
      </c>
      <c r="J33" s="5">
        <f t="shared" si="2"/>
        <v>0</v>
      </c>
    </row>
    <row r="34" spans="1:10" ht="18" customHeight="1">
      <c r="A34" s="3">
        <v>28</v>
      </c>
      <c r="B34" s="4" t="s">
        <v>28</v>
      </c>
      <c r="C34" s="5">
        <v>28</v>
      </c>
      <c r="D34" s="5"/>
      <c r="E34" s="5"/>
      <c r="F34" s="5"/>
      <c r="G34" s="5">
        <v>69</v>
      </c>
      <c r="H34" s="5"/>
      <c r="I34" s="5">
        <f t="shared" si="2"/>
        <v>97</v>
      </c>
      <c r="J34" s="5">
        <f t="shared" si="2"/>
        <v>0</v>
      </c>
    </row>
    <row r="35" spans="1:10" s="23" customFormat="1" ht="18" customHeight="1">
      <c r="A35" s="20" t="s">
        <v>29</v>
      </c>
      <c r="B35" s="24" t="s">
        <v>58</v>
      </c>
      <c r="C35" s="22">
        <f>SUM(C27:C34)</f>
        <v>2025</v>
      </c>
      <c r="D35" s="22">
        <f>SUM(D27:D34)</f>
        <v>0</v>
      </c>
      <c r="E35" s="22">
        <f>SUM(E27:E34)</f>
        <v>2725</v>
      </c>
      <c r="F35" s="22">
        <f>SUM(F27:F34)</f>
        <v>0</v>
      </c>
      <c r="G35" s="22">
        <f>SUM(G27:G34)</f>
        <v>250</v>
      </c>
      <c r="H35" s="22">
        <f t="shared" ref="H35:I35" si="3">SUM(H27:H34)</f>
        <v>0</v>
      </c>
      <c r="I35" s="22">
        <f t="shared" si="3"/>
        <v>5000</v>
      </c>
      <c r="J35" s="22">
        <f>SUM(J27:J34)</f>
        <v>0</v>
      </c>
    </row>
    <row r="36" spans="1:10" s="7" customFormat="1" ht="18.75">
      <c r="A36" s="1"/>
      <c r="B36" s="30" t="s">
        <v>48</v>
      </c>
      <c r="C36" s="8"/>
      <c r="D36" s="8"/>
      <c r="E36" s="8"/>
      <c r="F36" s="8"/>
      <c r="G36" s="8"/>
      <c r="H36" s="8"/>
      <c r="I36" s="317" t="s">
        <v>66</v>
      </c>
      <c r="J36" s="318"/>
    </row>
    <row r="37" spans="1:10" s="7" customFormat="1">
      <c r="A37" s="3">
        <v>29</v>
      </c>
      <c r="B37" s="13" t="s">
        <v>67</v>
      </c>
      <c r="C37" s="8"/>
      <c r="D37" s="8"/>
      <c r="E37" s="8"/>
      <c r="F37" s="8"/>
      <c r="G37" s="8"/>
      <c r="H37" s="8"/>
      <c r="I37" s="31">
        <v>5</v>
      </c>
      <c r="J37" s="31"/>
    </row>
    <row r="38" spans="1:10" s="7" customFormat="1">
      <c r="A38" s="3">
        <v>30</v>
      </c>
      <c r="B38" s="13" t="s">
        <v>35</v>
      </c>
      <c r="C38" s="8"/>
      <c r="D38" s="8"/>
      <c r="E38" s="8"/>
      <c r="F38" s="8"/>
      <c r="G38" s="8"/>
      <c r="H38" s="8"/>
      <c r="I38" s="31">
        <v>60</v>
      </c>
      <c r="J38" s="31"/>
    </row>
    <row r="39" spans="1:10" s="7" customFormat="1">
      <c r="A39" s="3">
        <v>31</v>
      </c>
      <c r="B39" s="13" t="s">
        <v>68</v>
      </c>
      <c r="C39" s="8"/>
      <c r="D39" s="8"/>
      <c r="E39" s="8"/>
      <c r="F39" s="8"/>
      <c r="G39" s="8"/>
      <c r="H39" s="8"/>
      <c r="I39" s="31">
        <v>10</v>
      </c>
      <c r="J39" s="31"/>
    </row>
    <row r="40" spans="1:10" s="7" customFormat="1">
      <c r="A40" s="3">
        <v>32</v>
      </c>
      <c r="B40" s="13" t="s">
        <v>36</v>
      </c>
      <c r="C40" s="8"/>
      <c r="D40" s="8"/>
      <c r="E40" s="8"/>
      <c r="F40" s="8"/>
      <c r="G40" s="8"/>
      <c r="H40" s="8"/>
      <c r="I40" s="31">
        <v>5</v>
      </c>
      <c r="J40" s="31"/>
    </row>
    <row r="41" spans="1:10" s="7" customFormat="1" ht="18" customHeight="1">
      <c r="A41" s="3">
        <v>33</v>
      </c>
      <c r="B41" s="13" t="s">
        <v>45</v>
      </c>
      <c r="C41" s="8"/>
      <c r="D41" s="8"/>
      <c r="E41" s="8"/>
      <c r="F41" s="8"/>
      <c r="G41" s="8"/>
      <c r="H41" s="8"/>
      <c r="I41" s="31">
        <v>150</v>
      </c>
      <c r="J41" s="31"/>
    </row>
    <row r="42" spans="1:10" s="7" customFormat="1" ht="18" customHeight="1">
      <c r="A42" s="3">
        <v>34</v>
      </c>
      <c r="B42" s="13" t="s">
        <v>41</v>
      </c>
      <c r="C42" s="8"/>
      <c r="D42" s="8"/>
      <c r="E42" s="8"/>
      <c r="F42" s="8"/>
      <c r="G42" s="8"/>
      <c r="H42" s="8"/>
      <c r="I42" s="31">
        <v>250</v>
      </c>
      <c r="J42" s="31"/>
    </row>
    <row r="43" spans="1:10" s="7" customFormat="1" ht="18" customHeight="1">
      <c r="A43" s="3">
        <v>35</v>
      </c>
      <c r="B43" s="13" t="s">
        <v>42</v>
      </c>
      <c r="C43" s="8"/>
      <c r="D43" s="8"/>
      <c r="E43" s="8"/>
      <c r="F43" s="8"/>
      <c r="G43" s="8"/>
      <c r="H43" s="8"/>
      <c r="I43" s="31">
        <v>200</v>
      </c>
      <c r="J43" s="31"/>
    </row>
    <row r="44" spans="1:10" s="7" customFormat="1" ht="18" customHeight="1">
      <c r="A44" s="3">
        <v>36</v>
      </c>
      <c r="B44" s="13" t="s">
        <v>43</v>
      </c>
      <c r="C44" s="8"/>
      <c r="D44" s="8"/>
      <c r="E44" s="8"/>
      <c r="F44" s="8"/>
      <c r="G44" s="8"/>
      <c r="H44" s="8"/>
      <c r="I44" s="31">
        <v>250</v>
      </c>
      <c r="J44" s="31"/>
    </row>
    <row r="45" spans="1:10" s="7" customFormat="1" ht="18" customHeight="1">
      <c r="A45" s="3">
        <v>37</v>
      </c>
      <c r="B45" s="13" t="s">
        <v>44</v>
      </c>
      <c r="C45" s="8"/>
      <c r="D45" s="8"/>
      <c r="E45" s="8"/>
      <c r="F45" s="8"/>
      <c r="G45" s="8"/>
      <c r="H45" s="8"/>
      <c r="I45" s="31">
        <v>1600</v>
      </c>
      <c r="J45" s="31"/>
    </row>
    <row r="46" spans="1:10" s="7" customFormat="1" ht="18" customHeight="1">
      <c r="A46" s="3">
        <v>38</v>
      </c>
      <c r="B46" s="13" t="s">
        <v>40</v>
      </c>
      <c r="C46" s="8"/>
      <c r="D46" s="8"/>
      <c r="E46" s="8"/>
      <c r="F46" s="8"/>
      <c r="G46" s="8"/>
      <c r="H46" s="8"/>
      <c r="I46" s="31">
        <v>50</v>
      </c>
      <c r="J46" s="31"/>
    </row>
    <row r="47" spans="1:10" s="7" customFormat="1" ht="18" customHeight="1">
      <c r="A47" s="1">
        <v>39</v>
      </c>
      <c r="B47" s="33" t="s">
        <v>54</v>
      </c>
      <c r="C47" s="8"/>
      <c r="D47" s="8"/>
      <c r="E47" s="8"/>
      <c r="F47" s="8"/>
      <c r="G47" s="8"/>
      <c r="H47" s="8"/>
      <c r="I47" s="32">
        <f>SUM(I48:I52)</f>
        <v>9420</v>
      </c>
      <c r="J47" s="32">
        <f>SUM(J48:J52)</f>
        <v>0</v>
      </c>
    </row>
    <row r="48" spans="1:10" s="16" customFormat="1" ht="18" customHeight="1">
      <c r="A48" s="34" t="s">
        <v>69</v>
      </c>
      <c r="B48" s="35" t="s">
        <v>74</v>
      </c>
      <c r="C48" s="15"/>
      <c r="D48" s="15"/>
      <c r="E48" s="15"/>
      <c r="F48" s="15"/>
      <c r="G48" s="15"/>
      <c r="H48" s="15"/>
      <c r="I48" s="36">
        <v>6975</v>
      </c>
      <c r="J48" s="36"/>
    </row>
    <row r="49" spans="1:13" s="16" customFormat="1" ht="18" customHeight="1">
      <c r="A49" s="34" t="s">
        <v>70</v>
      </c>
      <c r="B49" s="35" t="s">
        <v>75</v>
      </c>
      <c r="C49" s="15"/>
      <c r="D49" s="15"/>
      <c r="E49" s="15"/>
      <c r="F49" s="15"/>
      <c r="G49" s="15"/>
      <c r="H49" s="15"/>
      <c r="I49" s="36">
        <v>1060</v>
      </c>
      <c r="J49" s="36"/>
    </row>
    <row r="50" spans="1:13" s="16" customFormat="1" ht="18" customHeight="1">
      <c r="A50" s="34" t="s">
        <v>71</v>
      </c>
      <c r="B50" s="35" t="s">
        <v>76</v>
      </c>
      <c r="C50" s="15"/>
      <c r="D50" s="15"/>
      <c r="E50" s="15"/>
      <c r="F50" s="15"/>
      <c r="G50" s="15"/>
      <c r="H50" s="15"/>
      <c r="I50" s="36">
        <v>860</v>
      </c>
      <c r="J50" s="36"/>
    </row>
    <row r="51" spans="1:13" s="16" customFormat="1" ht="18" customHeight="1">
      <c r="A51" s="34" t="s">
        <v>72</v>
      </c>
      <c r="B51" s="35" t="s">
        <v>77</v>
      </c>
      <c r="C51" s="15"/>
      <c r="D51" s="15"/>
      <c r="E51" s="15"/>
      <c r="F51" s="15"/>
      <c r="G51" s="15"/>
      <c r="H51" s="15"/>
      <c r="I51" s="36">
        <v>315</v>
      </c>
      <c r="J51" s="36"/>
    </row>
    <row r="52" spans="1:13" s="16" customFormat="1" ht="18" customHeight="1">
      <c r="A52" s="34" t="s">
        <v>73</v>
      </c>
      <c r="B52" s="35" t="s">
        <v>78</v>
      </c>
      <c r="C52" s="15"/>
      <c r="D52" s="15"/>
      <c r="E52" s="15"/>
      <c r="F52" s="15"/>
      <c r="G52" s="15"/>
      <c r="H52" s="15"/>
      <c r="I52" s="36">
        <v>210</v>
      </c>
      <c r="J52" s="36"/>
    </row>
    <row r="53" spans="1:13" s="23" customFormat="1" ht="18" customHeight="1">
      <c r="A53" s="20" t="s">
        <v>30</v>
      </c>
      <c r="B53" s="21" t="s">
        <v>61</v>
      </c>
      <c r="C53" s="22"/>
      <c r="D53" s="22"/>
      <c r="E53" s="22"/>
      <c r="F53" s="22"/>
      <c r="G53" s="22"/>
      <c r="H53" s="22"/>
      <c r="I53" s="22">
        <f>SUM(I37:I47)</f>
        <v>12000</v>
      </c>
      <c r="J53" s="22">
        <f>SUM(J37:J47)</f>
        <v>0</v>
      </c>
    </row>
    <row r="54" spans="1:13" s="16" customFormat="1" ht="18.75">
      <c r="A54" s="14"/>
      <c r="B54" s="30" t="s">
        <v>46</v>
      </c>
      <c r="C54" s="15"/>
      <c r="D54" s="15"/>
      <c r="E54" s="15"/>
      <c r="F54" s="15"/>
      <c r="G54" s="15"/>
      <c r="H54" s="15"/>
      <c r="I54" s="15"/>
      <c r="J54" s="15"/>
    </row>
    <row r="55" spans="1:13" s="7" customFormat="1" ht="18" customHeight="1">
      <c r="A55" s="3">
        <v>40</v>
      </c>
      <c r="B55" s="4" t="s">
        <v>47</v>
      </c>
      <c r="C55" s="8"/>
      <c r="D55" s="8"/>
      <c r="E55" s="8"/>
      <c r="F55" s="8"/>
      <c r="G55" s="8"/>
      <c r="H55" s="8"/>
      <c r="I55" s="8">
        <v>300</v>
      </c>
      <c r="J55" s="8"/>
    </row>
    <row r="56" spans="1:13" s="23" customFormat="1" ht="18" customHeight="1">
      <c r="A56" s="20" t="s">
        <v>49</v>
      </c>
      <c r="B56" s="21" t="s">
        <v>62</v>
      </c>
      <c r="C56" s="22"/>
      <c r="D56" s="22"/>
      <c r="E56" s="22"/>
      <c r="F56" s="22"/>
      <c r="G56" s="22"/>
      <c r="H56" s="22"/>
      <c r="I56" s="22">
        <f>I55</f>
        <v>300</v>
      </c>
      <c r="J56" s="22">
        <f>J55</f>
        <v>0</v>
      </c>
    </row>
    <row r="57" spans="1:13" s="19" customFormat="1" ht="21.75" thickBot="1">
      <c r="A57" s="17"/>
      <c r="B57" s="18" t="s">
        <v>50</v>
      </c>
      <c r="C57" s="28">
        <f>C25+C35</f>
        <v>39500</v>
      </c>
      <c r="D57" s="28">
        <f t="shared" ref="D57:H57" si="4">D25+D35</f>
        <v>0</v>
      </c>
      <c r="E57" s="28">
        <f t="shared" si="4"/>
        <v>9600</v>
      </c>
      <c r="F57" s="28">
        <f t="shared" si="4"/>
        <v>0</v>
      </c>
      <c r="G57" s="28">
        <f t="shared" si="4"/>
        <v>900</v>
      </c>
      <c r="H57" s="28">
        <f t="shared" si="4"/>
        <v>0</v>
      </c>
      <c r="I57" s="28">
        <f>I25+I35+I53+I56</f>
        <v>62300</v>
      </c>
      <c r="J57" s="28">
        <f>J25+J35+J53+J56</f>
        <v>0</v>
      </c>
    </row>
    <row r="58" spans="1:13" s="7" customFormat="1" ht="18" customHeight="1" thickTop="1">
      <c r="A58" s="25"/>
      <c r="B58" s="26"/>
      <c r="C58" s="27"/>
      <c r="D58" s="27"/>
      <c r="E58" s="27"/>
      <c r="F58" s="27"/>
      <c r="G58" s="27"/>
      <c r="H58" s="27"/>
      <c r="I58" s="27"/>
      <c r="J58" s="27"/>
    </row>
    <row r="59" spans="1:13" s="7" customFormat="1" ht="21">
      <c r="A59" s="319" t="s">
        <v>56</v>
      </c>
      <c r="B59" s="319"/>
      <c r="C59" s="319"/>
      <c r="D59" s="319"/>
      <c r="E59" s="319"/>
      <c r="F59" s="319"/>
      <c r="G59" s="319"/>
      <c r="H59" s="319"/>
      <c r="I59" s="319"/>
      <c r="J59" s="319"/>
    </row>
    <row r="60" spans="1:13" s="10" customFormat="1" ht="21.75" customHeight="1">
      <c r="A60" s="37">
        <v>1</v>
      </c>
      <c r="B60" s="38" t="s">
        <v>31</v>
      </c>
      <c r="C60" s="39"/>
      <c r="D60" s="40"/>
      <c r="E60" s="40"/>
      <c r="F60" s="40"/>
      <c r="G60" s="40"/>
      <c r="H60" s="41"/>
      <c r="I60" s="42">
        <f>(I25+I35)/100</f>
        <v>500</v>
      </c>
      <c r="J60" s="42">
        <f>(J25+J35)/100</f>
        <v>0</v>
      </c>
      <c r="M60" s="12"/>
    </row>
    <row r="61" spans="1:13" s="10" customFormat="1" ht="21.75" customHeight="1">
      <c r="A61" s="37">
        <v>2</v>
      </c>
      <c r="B61" s="38" t="s">
        <v>32</v>
      </c>
      <c r="C61" s="43"/>
      <c r="D61" s="43"/>
      <c r="E61" s="43"/>
      <c r="F61" s="43"/>
      <c r="G61" s="43"/>
      <c r="H61" s="43"/>
      <c r="I61" s="42">
        <f>(I53)/100</f>
        <v>120</v>
      </c>
      <c r="J61" s="42">
        <f>(J53)/100</f>
        <v>0</v>
      </c>
    </row>
    <row r="62" spans="1:13" s="10" customFormat="1" ht="21.75" customHeight="1">
      <c r="A62" s="44"/>
      <c r="B62" s="45" t="s">
        <v>63</v>
      </c>
      <c r="C62" s="46"/>
      <c r="D62" s="46"/>
      <c r="E62" s="46"/>
      <c r="F62" s="46"/>
      <c r="G62" s="46"/>
      <c r="H62" s="46"/>
      <c r="I62" s="47">
        <f>SUM(I60:I61)</f>
        <v>620</v>
      </c>
      <c r="J62" s="47">
        <f>SUM(J60:J61)</f>
        <v>0</v>
      </c>
    </row>
    <row r="63" spans="1:13" s="10" customFormat="1" ht="21.75" customHeight="1">
      <c r="A63" s="37">
        <v>3</v>
      </c>
      <c r="B63" s="38" t="s">
        <v>33</v>
      </c>
      <c r="C63" s="43"/>
      <c r="D63" s="43"/>
      <c r="E63" s="43"/>
      <c r="F63" s="43"/>
      <c r="G63" s="43"/>
      <c r="H63" s="43"/>
      <c r="I63" s="42">
        <f>(I55)/100</f>
        <v>3</v>
      </c>
      <c r="J63" s="42">
        <f>(J55)/100</f>
        <v>0</v>
      </c>
    </row>
    <row r="64" spans="1:13" ht="21.75" customHeight="1">
      <c r="A64" s="44"/>
      <c r="B64" s="45" t="s">
        <v>55</v>
      </c>
      <c r="C64" s="48"/>
      <c r="D64" s="49"/>
      <c r="E64" s="49"/>
      <c r="F64" s="49"/>
      <c r="G64" s="49"/>
      <c r="H64" s="50"/>
      <c r="I64" s="47">
        <f>SUM(I62:I63)</f>
        <v>623</v>
      </c>
      <c r="J64" s="47">
        <f>SUM(J62:J63)</f>
        <v>0</v>
      </c>
    </row>
  </sheetData>
  <mergeCells count="12">
    <mergeCell ref="I5:J5"/>
    <mergeCell ref="I26:J26"/>
    <mergeCell ref="I36:J36"/>
    <mergeCell ref="A59:J59"/>
    <mergeCell ref="A1:J1"/>
    <mergeCell ref="A2:J2"/>
    <mergeCell ref="A3:A4"/>
    <mergeCell ref="B3:B4"/>
    <mergeCell ref="C3:D3"/>
    <mergeCell ref="E3:F3"/>
    <mergeCell ref="G3:H3"/>
    <mergeCell ref="I3:J3"/>
  </mergeCells>
  <printOptions horizontalCentered="1"/>
  <pageMargins left="0.25" right="0.25" top="0.25" bottom="0.5" header="0.25" footer="0.5"/>
  <pageSetup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topLeftCell="A4" zoomScaleNormal="100" workbookViewId="0">
      <selection activeCell="A20" sqref="A20:XFD23"/>
    </sheetView>
  </sheetViews>
  <sheetFormatPr defaultColWidth="9.140625" defaultRowHeight="18.75"/>
  <cols>
    <col min="1" max="1" width="9.28515625" style="164" customWidth="1"/>
    <col min="2" max="2" width="23.85546875" style="162" customWidth="1"/>
    <col min="3" max="4" width="15.7109375" style="162" customWidth="1"/>
    <col min="5" max="5" width="15.7109375" style="164" customWidth="1"/>
    <col min="6" max="6" width="15.7109375" style="162" customWidth="1"/>
    <col min="7" max="7" width="15.7109375" style="164" customWidth="1"/>
    <col min="8" max="8" width="24.85546875" style="164" customWidth="1"/>
    <col min="9" max="16384" width="9.140625" style="162"/>
  </cols>
  <sheetData>
    <row r="1" spans="1:8" ht="22.5">
      <c r="A1" s="244" t="s">
        <v>179</v>
      </c>
      <c r="B1" s="244"/>
      <c r="C1" s="244"/>
      <c r="D1" s="244"/>
      <c r="E1" s="244"/>
      <c r="F1" s="244"/>
      <c r="G1" s="244"/>
      <c r="H1" s="244"/>
    </row>
    <row r="2" spans="1:8" ht="19.5">
      <c r="A2" s="245" t="s">
        <v>187</v>
      </c>
      <c r="B2" s="245"/>
      <c r="C2" s="245"/>
      <c r="D2" s="245"/>
      <c r="E2" s="245"/>
      <c r="F2" s="245"/>
      <c r="G2" s="245"/>
      <c r="H2" s="245"/>
    </row>
    <row r="3" spans="1:8" ht="22.5">
      <c r="A3" s="246" t="s">
        <v>0</v>
      </c>
      <c r="B3" s="242" t="s">
        <v>180</v>
      </c>
      <c r="C3" s="242" t="s">
        <v>87</v>
      </c>
      <c r="D3" s="238" t="s">
        <v>181</v>
      </c>
      <c r="E3" s="238"/>
      <c r="F3" s="238" t="s">
        <v>186</v>
      </c>
      <c r="G3" s="238"/>
      <c r="H3" s="239" t="s">
        <v>189</v>
      </c>
    </row>
    <row r="4" spans="1:8" s="163" customFormat="1" ht="19.5">
      <c r="A4" s="247"/>
      <c r="B4" s="242"/>
      <c r="C4" s="242"/>
      <c r="D4" s="176" t="s">
        <v>79</v>
      </c>
      <c r="E4" s="177" t="s">
        <v>164</v>
      </c>
      <c r="F4" s="176" t="s">
        <v>79</v>
      </c>
      <c r="G4" s="177" t="s">
        <v>164</v>
      </c>
      <c r="H4" s="239"/>
    </row>
    <row r="5" spans="1:8">
      <c r="A5" s="165">
        <v>1</v>
      </c>
      <c r="B5" s="166" t="s">
        <v>1</v>
      </c>
      <c r="C5" s="167">
        <f>ADC!O8</f>
        <v>5243.1900000000005</v>
      </c>
      <c r="D5" s="167">
        <f>'Category Wise'!F6</f>
        <v>1310.798</v>
      </c>
      <c r="E5" s="168" t="str">
        <f>'Category Wise'!G6</f>
        <v>04.07.2016</v>
      </c>
      <c r="F5" s="167"/>
      <c r="G5" s="169"/>
      <c r="H5" s="179"/>
    </row>
    <row r="6" spans="1:8">
      <c r="A6" s="165">
        <v>2</v>
      </c>
      <c r="B6" s="166" t="s">
        <v>21</v>
      </c>
      <c r="C6" s="167">
        <f>ADC!O29</f>
        <v>604.97300000000007</v>
      </c>
      <c r="D6" s="167">
        <f>'Category Wise'!F27</f>
        <v>302.48649999999998</v>
      </c>
      <c r="E6" s="168" t="str">
        <f>'Category Wise'!G27</f>
        <v>03.08.2016</v>
      </c>
      <c r="F6" s="167"/>
      <c r="G6" s="169"/>
      <c r="H6" s="179"/>
    </row>
    <row r="7" spans="1:8">
      <c r="A7" s="165">
        <v>3</v>
      </c>
      <c r="B7" s="166" t="s">
        <v>3</v>
      </c>
      <c r="C7" s="167">
        <f>ADC!O10</f>
        <v>1047.616</v>
      </c>
      <c r="D7" s="167">
        <f>'Category Wise'!F8</f>
        <v>400</v>
      </c>
      <c r="E7" s="168" t="str">
        <f>'Category Wise'!G8</f>
        <v>04.07.2016</v>
      </c>
      <c r="F7" s="167"/>
      <c r="G7" s="169"/>
      <c r="H7" s="179"/>
    </row>
    <row r="8" spans="1:8">
      <c r="A8" s="165">
        <v>4</v>
      </c>
      <c r="B8" s="166" t="s">
        <v>7</v>
      </c>
      <c r="C8" s="167">
        <f>ADC!O14</f>
        <v>381</v>
      </c>
      <c r="D8" s="167">
        <f>'Category Wise'!F12</f>
        <v>127</v>
      </c>
      <c r="E8" s="168" t="str">
        <f>'Category Wise'!G12</f>
        <v>05.08.2016</v>
      </c>
      <c r="F8" s="167"/>
      <c r="G8" s="169"/>
      <c r="H8" s="179"/>
    </row>
    <row r="9" spans="1:8">
      <c r="A9" s="165">
        <v>5</v>
      </c>
      <c r="B9" s="166" t="s">
        <v>8</v>
      </c>
      <c r="C9" s="167">
        <f>ADC!O15</f>
        <v>2111.29</v>
      </c>
      <c r="D9" s="167">
        <f>'Category Wise'!F13</f>
        <v>1056</v>
      </c>
      <c r="E9" s="168" t="str">
        <f>'Category Wise'!G13</f>
        <v>25.07.2016</v>
      </c>
      <c r="F9" s="167"/>
      <c r="G9" s="169"/>
      <c r="H9" s="179"/>
    </row>
    <row r="10" spans="1:8">
      <c r="A10" s="165">
        <v>6</v>
      </c>
      <c r="B10" s="166" t="s">
        <v>10</v>
      </c>
      <c r="C10" s="167">
        <f>ADC!O17</f>
        <v>9658.1799999999985</v>
      </c>
      <c r="D10" s="167">
        <f>'Category Wise'!F15</f>
        <v>2577.69</v>
      </c>
      <c r="E10" s="168" t="str">
        <f>'Category Wise'!G15</f>
        <v>04.07.2016</v>
      </c>
      <c r="F10" s="167"/>
      <c r="G10" s="169"/>
      <c r="H10" s="179"/>
    </row>
    <row r="11" spans="1:8">
      <c r="A11" s="165">
        <v>7</v>
      </c>
      <c r="B11" s="166" t="s">
        <v>11</v>
      </c>
      <c r="C11" s="167">
        <f>ADC!O18</f>
        <v>5934.01</v>
      </c>
      <c r="D11" s="167">
        <f>'Category Wise'!F16</f>
        <v>2967.0050000000001</v>
      </c>
      <c r="E11" s="168" t="str">
        <f>'Category Wise'!G16</f>
        <v>01.07.2016</v>
      </c>
      <c r="F11" s="167"/>
      <c r="G11" s="169"/>
      <c r="H11" s="179"/>
    </row>
    <row r="12" spans="1:8">
      <c r="A12" s="165">
        <v>8</v>
      </c>
      <c r="B12" s="166" t="s">
        <v>25</v>
      </c>
      <c r="C12" s="167">
        <f>ADC!O33</f>
        <v>1447.9659999999999</v>
      </c>
      <c r="D12" s="167">
        <f>'Category Wise'!F31</f>
        <v>723.98299999999995</v>
      </c>
      <c r="E12" s="168" t="str">
        <f>'Category Wise'!G31</f>
        <v>01.07.2016</v>
      </c>
      <c r="F12" s="167"/>
      <c r="G12" s="169"/>
      <c r="H12" s="179"/>
    </row>
    <row r="13" spans="1:8">
      <c r="A13" s="165">
        <v>9</v>
      </c>
      <c r="B13" s="166" t="s">
        <v>26</v>
      </c>
      <c r="C13" s="167">
        <f>ADC!O34</f>
        <v>573.6</v>
      </c>
      <c r="D13" s="167">
        <f>'Category Wise'!F32</f>
        <v>286.8</v>
      </c>
      <c r="E13" s="168" t="str">
        <f>'Category Wise'!G32</f>
        <v>25.07.2016</v>
      </c>
      <c r="F13" s="167"/>
      <c r="G13" s="169"/>
      <c r="H13" s="179"/>
    </row>
    <row r="14" spans="1:8">
      <c r="A14" s="165">
        <v>10</v>
      </c>
      <c r="B14" s="166" t="s">
        <v>14</v>
      </c>
      <c r="C14" s="167">
        <f>ADC!O21</f>
        <v>6019.96</v>
      </c>
      <c r="D14" s="167">
        <f>'Category Wise'!F19</f>
        <v>1500</v>
      </c>
      <c r="E14" s="168" t="str">
        <f>'Category Wise'!G19</f>
        <v>11.07.2016</v>
      </c>
      <c r="F14" s="167"/>
      <c r="G14" s="169"/>
      <c r="H14" s="179"/>
    </row>
    <row r="15" spans="1:8">
      <c r="A15" s="165">
        <v>11</v>
      </c>
      <c r="B15" s="166" t="s">
        <v>15</v>
      </c>
      <c r="C15" s="167">
        <f>ADC!O22</f>
        <v>900.84699999999998</v>
      </c>
      <c r="D15" s="167">
        <f>'Category Wise'!F20</f>
        <v>450.42349999999999</v>
      </c>
      <c r="E15" s="168" t="str">
        <f>'Category Wise'!G20</f>
        <v>06.06.2016</v>
      </c>
      <c r="F15" s="167"/>
      <c r="G15" s="169"/>
      <c r="H15" s="179"/>
    </row>
    <row r="16" spans="1:8">
      <c r="A16" s="165">
        <v>12</v>
      </c>
      <c r="B16" s="166" t="s">
        <v>19</v>
      </c>
      <c r="C16" s="167">
        <f>ADC!O25</f>
        <v>70.25</v>
      </c>
      <c r="D16" s="167">
        <f>'Category Wise'!F23</f>
        <v>51.37</v>
      </c>
      <c r="E16" s="168" t="str">
        <f>'Category Wise'!G23</f>
        <v>05.08.2016</v>
      </c>
      <c r="F16" s="167"/>
      <c r="G16" s="169"/>
      <c r="H16" s="179"/>
    </row>
    <row r="17" spans="1:8">
      <c r="A17" s="165">
        <v>13</v>
      </c>
      <c r="B17" s="166" t="s">
        <v>18</v>
      </c>
      <c r="C17" s="167">
        <f>ADC!O26</f>
        <v>1337.22</v>
      </c>
      <c r="D17" s="167">
        <f>'Category Wise'!F24</f>
        <v>400</v>
      </c>
      <c r="E17" s="168" t="str">
        <f>'Category Wise'!G24</f>
        <v>11.07.2016</v>
      </c>
      <c r="F17" s="167"/>
      <c r="G17" s="169"/>
      <c r="H17" s="179"/>
    </row>
    <row r="18" spans="1:8" ht="19.5">
      <c r="A18" s="241" t="s">
        <v>94</v>
      </c>
      <c r="B18" s="241"/>
      <c r="C18" s="170">
        <f>SUM(C5:C17)</f>
        <v>35330.101999999999</v>
      </c>
      <c r="D18" s="170">
        <f>SUM(D5:D17)</f>
        <v>12153.556000000002</v>
      </c>
      <c r="E18" s="171"/>
      <c r="F18" s="170">
        <f>SUM(F5:F17)</f>
        <v>0</v>
      </c>
      <c r="G18" s="171"/>
      <c r="H18" s="171"/>
    </row>
    <row r="19" spans="1:8" ht="18" customHeight="1"/>
    <row r="20" spans="1:8" ht="18.75" customHeight="1">
      <c r="A20" s="243" t="s">
        <v>103</v>
      </c>
      <c r="B20" s="243"/>
      <c r="C20" s="243"/>
      <c r="D20" s="243"/>
      <c r="E20" s="243"/>
    </row>
    <row r="21" spans="1:8" ht="18" customHeight="1">
      <c r="A21" s="174"/>
      <c r="B21" s="175"/>
      <c r="C21" s="175"/>
      <c r="D21" s="175"/>
      <c r="E21" s="175"/>
    </row>
    <row r="22" spans="1:8">
      <c r="A22" s="180" t="s">
        <v>0</v>
      </c>
      <c r="B22" s="181" t="s">
        <v>104</v>
      </c>
      <c r="C22" s="324" t="s">
        <v>188</v>
      </c>
      <c r="D22" s="324"/>
      <c r="E22" s="182" t="s">
        <v>164</v>
      </c>
    </row>
    <row r="23" spans="1:8">
      <c r="A23" s="172">
        <v>1</v>
      </c>
      <c r="B23" s="173" t="s">
        <v>4</v>
      </c>
      <c r="C23" s="325">
        <v>2333.9297999999999</v>
      </c>
      <c r="D23" s="325"/>
      <c r="E23" s="165"/>
    </row>
    <row r="25" spans="1:8" ht="22.5">
      <c r="A25" s="246" t="s">
        <v>0</v>
      </c>
      <c r="B25" s="242" t="s">
        <v>180</v>
      </c>
      <c r="C25" s="242" t="s">
        <v>87</v>
      </c>
      <c r="D25" s="238" t="s">
        <v>181</v>
      </c>
      <c r="E25" s="238"/>
      <c r="F25" s="238" t="s">
        <v>186</v>
      </c>
      <c r="G25" s="238"/>
      <c r="H25" s="239" t="s">
        <v>189</v>
      </c>
    </row>
    <row r="26" spans="1:8" s="163" customFormat="1" ht="19.5">
      <c r="A26" s="247"/>
      <c r="B26" s="242"/>
      <c r="C26" s="242"/>
      <c r="D26" s="178" t="s">
        <v>79</v>
      </c>
      <c r="E26" s="177" t="s">
        <v>164</v>
      </c>
      <c r="F26" s="178" t="s">
        <v>79</v>
      </c>
      <c r="G26" s="177" t="s">
        <v>164</v>
      </c>
      <c r="H26" s="239"/>
    </row>
    <row r="27" spans="1:8">
      <c r="A27" s="184">
        <v>1</v>
      </c>
      <c r="B27" s="185" t="s">
        <v>22</v>
      </c>
      <c r="C27" s="186">
        <f>ADC!O30</f>
        <v>1875.1019999999999</v>
      </c>
      <c r="D27" s="186">
        <f>'Category Wise'!F28</f>
        <v>0</v>
      </c>
      <c r="E27" s="187"/>
      <c r="F27" s="186"/>
      <c r="G27" s="188"/>
      <c r="H27" s="183" t="s">
        <v>190</v>
      </c>
    </row>
    <row r="28" spans="1:8">
      <c r="A28" s="184">
        <v>2</v>
      </c>
      <c r="B28" s="185" t="s">
        <v>2</v>
      </c>
      <c r="C28" s="186">
        <f>ADC!O9</f>
        <v>150.52000000000001</v>
      </c>
      <c r="D28" s="186">
        <f>'Category Wise'!F7</f>
        <v>0</v>
      </c>
      <c r="E28" s="187"/>
      <c r="F28" s="186"/>
      <c r="G28" s="188"/>
      <c r="H28" s="183" t="s">
        <v>190</v>
      </c>
    </row>
    <row r="29" spans="1:8">
      <c r="A29" s="184">
        <v>3</v>
      </c>
      <c r="B29" s="185" t="s">
        <v>4</v>
      </c>
      <c r="C29" s="186">
        <f>ADC!O11</f>
        <v>4004.35</v>
      </c>
      <c r="D29" s="186">
        <f>'Category Wise'!F9</f>
        <v>2333.9297999999999</v>
      </c>
      <c r="E29" s="187"/>
      <c r="F29" s="186"/>
      <c r="G29" s="188"/>
      <c r="H29" s="183" t="s">
        <v>191</v>
      </c>
    </row>
    <row r="30" spans="1:8">
      <c r="A30" s="184">
        <v>4</v>
      </c>
      <c r="B30" s="185" t="s">
        <v>5</v>
      </c>
      <c r="C30" s="186">
        <f>ADC!O12</f>
        <v>787</v>
      </c>
      <c r="D30" s="186">
        <f>'Category Wise'!F10</f>
        <v>0</v>
      </c>
      <c r="E30" s="187"/>
      <c r="F30" s="186"/>
      <c r="G30" s="188"/>
      <c r="H30" s="183" t="s">
        <v>190</v>
      </c>
    </row>
    <row r="31" spans="1:8" ht="37.5">
      <c r="A31" s="184">
        <v>5</v>
      </c>
      <c r="B31" s="185" t="s">
        <v>6</v>
      </c>
      <c r="C31" s="186">
        <f>ADC!O13</f>
        <v>100.67999999999999</v>
      </c>
      <c r="D31" s="186">
        <f>'Category Wise'!F11</f>
        <v>0</v>
      </c>
      <c r="E31" s="187"/>
      <c r="F31" s="186"/>
      <c r="G31" s="188"/>
      <c r="H31" s="183" t="s">
        <v>192</v>
      </c>
    </row>
    <row r="32" spans="1:8" ht="37.5">
      <c r="A32" s="184">
        <v>6</v>
      </c>
      <c r="B32" s="185" t="s">
        <v>9</v>
      </c>
      <c r="C32" s="186">
        <f>ADC!O16</f>
        <v>13.86</v>
      </c>
      <c r="D32" s="186">
        <f>'Category Wise'!F14</f>
        <v>0</v>
      </c>
      <c r="E32" s="187"/>
      <c r="F32" s="186"/>
      <c r="G32" s="188"/>
      <c r="H32" s="183" t="s">
        <v>192</v>
      </c>
    </row>
    <row r="33" spans="1:8" ht="37.5">
      <c r="A33" s="184">
        <v>7</v>
      </c>
      <c r="B33" s="185" t="s">
        <v>23</v>
      </c>
      <c r="C33" s="186">
        <f>ADC!O31</f>
        <v>152.41999999999999</v>
      </c>
      <c r="D33" s="186">
        <f>'Category Wise'!F29</f>
        <v>91.45</v>
      </c>
      <c r="E33" s="187"/>
      <c r="F33" s="186"/>
      <c r="G33" s="188"/>
      <c r="H33" s="183" t="s">
        <v>192</v>
      </c>
    </row>
    <row r="34" spans="1:8" ht="37.5">
      <c r="A34" s="184">
        <v>8</v>
      </c>
      <c r="B34" s="185" t="s">
        <v>24</v>
      </c>
      <c r="C34" s="186">
        <f>ADC!O32</f>
        <v>49.14</v>
      </c>
      <c r="D34" s="186">
        <f>'Category Wise'!F30</f>
        <v>0</v>
      </c>
      <c r="E34" s="187"/>
      <c r="F34" s="186"/>
      <c r="G34" s="188"/>
      <c r="H34" s="183" t="s">
        <v>193</v>
      </c>
    </row>
    <row r="35" spans="1:8">
      <c r="A35" s="184">
        <v>9</v>
      </c>
      <c r="B35" s="185" t="s">
        <v>12</v>
      </c>
      <c r="C35" s="186">
        <f>ADC!O19</f>
        <v>975.01099999999997</v>
      </c>
      <c r="D35" s="186">
        <f>'Category Wise'!F33</f>
        <v>0</v>
      </c>
      <c r="E35" s="187"/>
      <c r="F35" s="186"/>
      <c r="G35" s="188"/>
      <c r="H35" s="183" t="s">
        <v>191</v>
      </c>
    </row>
    <row r="36" spans="1:8">
      <c r="A36" s="184">
        <v>10</v>
      </c>
      <c r="B36" s="185" t="s">
        <v>13</v>
      </c>
      <c r="C36" s="186">
        <f>ADC!O20</f>
        <v>62.93</v>
      </c>
      <c r="D36" s="186">
        <f>'Category Wise'!F18</f>
        <v>0</v>
      </c>
      <c r="E36" s="187"/>
      <c r="F36" s="186"/>
      <c r="G36" s="188"/>
      <c r="H36" s="183" t="s">
        <v>190</v>
      </c>
    </row>
    <row r="37" spans="1:8">
      <c r="A37" s="184">
        <v>11</v>
      </c>
      <c r="B37" s="185" t="s">
        <v>27</v>
      </c>
      <c r="C37" s="186">
        <f>ADC!O35</f>
        <v>0</v>
      </c>
      <c r="D37" s="186">
        <f>'Category Wise'!F33</f>
        <v>0</v>
      </c>
      <c r="E37" s="187"/>
      <c r="F37" s="186"/>
      <c r="G37" s="188"/>
      <c r="H37" s="183" t="s">
        <v>190</v>
      </c>
    </row>
    <row r="38" spans="1:8">
      <c r="A38" s="184">
        <v>12</v>
      </c>
      <c r="B38" s="185" t="s">
        <v>16</v>
      </c>
      <c r="C38" s="186">
        <f>ADC!O23</f>
        <v>1096.81</v>
      </c>
      <c r="D38" s="186">
        <f>'Category Wise'!F21</f>
        <v>0</v>
      </c>
      <c r="E38" s="187"/>
      <c r="F38" s="186"/>
      <c r="G38" s="188"/>
      <c r="H38" s="183" t="s">
        <v>190</v>
      </c>
    </row>
    <row r="39" spans="1:8">
      <c r="A39" s="184">
        <v>13</v>
      </c>
      <c r="B39" s="185" t="s">
        <v>28</v>
      </c>
      <c r="C39" s="186">
        <f>ADC!O36</f>
        <v>103.86</v>
      </c>
      <c r="D39" s="186">
        <f>'Category Wise'!F34</f>
        <v>62.25</v>
      </c>
      <c r="E39" s="187"/>
      <c r="F39" s="186"/>
      <c r="G39" s="188"/>
      <c r="H39" s="183" t="s">
        <v>190</v>
      </c>
    </row>
    <row r="40" spans="1:8" ht="56.25">
      <c r="A40" s="184">
        <v>14</v>
      </c>
      <c r="B40" s="185" t="s">
        <v>17</v>
      </c>
      <c r="C40" s="186">
        <f>ADC!O24</f>
        <v>1660.49</v>
      </c>
      <c r="D40" s="186">
        <f>'Category Wise'!F22</f>
        <v>415.12</v>
      </c>
      <c r="E40" s="187"/>
      <c r="F40" s="186"/>
      <c r="G40" s="188"/>
      <c r="H40" s="183" t="s">
        <v>194</v>
      </c>
    </row>
    <row r="41" spans="1:8">
      <c r="A41" s="240" t="s">
        <v>94</v>
      </c>
      <c r="B41" s="240"/>
      <c r="C41" s="186">
        <f>SUM(C27:C40)</f>
        <v>11032.173000000001</v>
      </c>
      <c r="D41" s="186">
        <f>SUM(D27:D40)</f>
        <v>2902.7497999999996</v>
      </c>
      <c r="E41" s="184"/>
      <c r="F41" s="185"/>
      <c r="G41" s="184"/>
      <c r="H41" s="165"/>
    </row>
    <row r="43" spans="1:8">
      <c r="A43" s="323"/>
      <c r="B43" s="323"/>
    </row>
  </sheetData>
  <sortState ref="B4:B30">
    <sortCondition ref="B4"/>
  </sortState>
  <mergeCells count="20">
    <mergeCell ref="F3:G3"/>
    <mergeCell ref="C3:C4"/>
    <mergeCell ref="B3:B4"/>
    <mergeCell ref="A3:A4"/>
    <mergeCell ref="A1:H1"/>
    <mergeCell ref="A2:H2"/>
    <mergeCell ref="H3:H4"/>
    <mergeCell ref="A18:B18"/>
    <mergeCell ref="C22:D22"/>
    <mergeCell ref="C23:D23"/>
    <mergeCell ref="A20:E20"/>
    <mergeCell ref="D3:E3"/>
    <mergeCell ref="H25:H26"/>
    <mergeCell ref="A41:B41"/>
    <mergeCell ref="A43:B43"/>
    <mergeCell ref="A25:A26"/>
    <mergeCell ref="B25:B26"/>
    <mergeCell ref="C25:C26"/>
    <mergeCell ref="D25:E25"/>
    <mergeCell ref="F25:G25"/>
  </mergeCells>
  <printOptions horizontalCentered="1"/>
  <pageMargins left="0.5" right="0.5" top="0.5" bottom="0.5" header="0.5" footer="0.5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JS SMT (States) (2)</vt:lpstr>
      <vt:lpstr>Annexure - IV</vt:lpstr>
      <vt:lpstr>ADC</vt:lpstr>
      <vt:lpstr>Annexure - VI</vt:lpstr>
      <vt:lpstr>Head Wise</vt:lpstr>
      <vt:lpstr>Category Wise</vt:lpstr>
      <vt:lpstr>Annexure - V (Approved)</vt:lpstr>
      <vt:lpstr>Annexure - V</vt:lpstr>
      <vt:lpstr>JS SMT (States)</vt:lpstr>
      <vt:lpstr>Sheet1</vt:lpstr>
      <vt:lpstr>ADC!Print_Area</vt:lpstr>
      <vt:lpstr>'Annexure - V'!Print_Area</vt:lpstr>
      <vt:lpstr>'Annexure - V (Approved)'!Print_Area</vt:lpstr>
      <vt:lpstr>'Annexure - VI'!Print_Area</vt:lpstr>
      <vt:lpstr>'Category Wise'!Print_Area</vt:lpstr>
      <vt:lpstr>'JS SMT (States)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2016-12-08T07:31:41Z</dcterms:modified>
</cp:coreProperties>
</file>